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Bärbara datorer 2024 - 2025\3 Förvaltning\1 Avropa.se\Särskild fördelningsnyckel\"/>
    </mc:Choice>
  </mc:AlternateContent>
  <xr:revisionPtr revIDLastSave="0" documentId="8_{EB0053A5-05DE-4495-AE99-7CAEFE1D8346}" xr6:coauthVersionLast="47" xr6:coauthVersionMax="47" xr10:uidLastSave="{00000000-0000-0000-0000-000000000000}"/>
  <bookViews>
    <workbookView xWindow="-110" yWindow="-110" windowWidth="19420" windowHeight="11500" xr2:uid="{00000000-000D-0000-FFFF-FFFF00000000}"/>
  </bookViews>
  <sheets>
    <sheet name="Avropsmall Bärbara" sheetId="1" r:id="rId1"/>
    <sheet name="Prismatris" sheetId="2" r:id="rId2"/>
    <sheet name="Information" sheetId="3" r:id="rId3"/>
  </sheets>
  <definedNames>
    <definedName name="_GoBack" localSheetId="1">Prismatris!#REF!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2" l="1"/>
  <c r="E13" i="2"/>
  <c r="E17" i="2"/>
  <c r="E21" i="2"/>
  <c r="E25" i="2"/>
  <c r="E29" i="2"/>
  <c r="E32" i="2"/>
  <c r="E38" i="2"/>
  <c r="E41" i="2"/>
  <c r="E44" i="2"/>
  <c r="E47" i="2"/>
  <c r="E50" i="2"/>
  <c r="E53" i="2"/>
  <c r="E58" i="2"/>
  <c r="E61" i="2"/>
  <c r="B45" i="1"/>
  <c r="E65" i="2" l="1"/>
  <c r="E70" i="2" s="1"/>
  <c r="D61" i="2"/>
  <c r="F61" i="2"/>
  <c r="G61" i="2"/>
  <c r="H61" i="2"/>
  <c r="D58" i="2"/>
  <c r="F58" i="2"/>
  <c r="G58" i="2"/>
  <c r="H58" i="2"/>
  <c r="D53" i="2"/>
  <c r="F53" i="2"/>
  <c r="G53" i="2"/>
  <c r="H53" i="2"/>
  <c r="D50" i="2"/>
  <c r="F50" i="2"/>
  <c r="G50" i="2"/>
  <c r="H50" i="2"/>
  <c r="D47" i="2"/>
  <c r="F47" i="2"/>
  <c r="G47" i="2"/>
  <c r="H47" i="2"/>
  <c r="D44" i="2"/>
  <c r="F44" i="2"/>
  <c r="G44" i="2"/>
  <c r="H44" i="2"/>
  <c r="D41" i="2"/>
  <c r="F41" i="2"/>
  <c r="G41" i="2"/>
  <c r="H41" i="2"/>
  <c r="D38" i="2"/>
  <c r="F38" i="2"/>
  <c r="G38" i="2"/>
  <c r="H38" i="2"/>
  <c r="D32" i="2"/>
  <c r="F32" i="2"/>
  <c r="G32" i="2"/>
  <c r="H32" i="2"/>
  <c r="C32" i="2"/>
  <c r="D29" i="2"/>
  <c r="F29" i="2"/>
  <c r="G29" i="2"/>
  <c r="H29" i="2"/>
  <c r="D25" i="2"/>
  <c r="F25" i="2"/>
  <c r="G25" i="2"/>
  <c r="H25" i="2"/>
  <c r="D21" i="2"/>
  <c r="F21" i="2"/>
  <c r="G21" i="2"/>
  <c r="H21" i="2"/>
  <c r="D17" i="2"/>
  <c r="F17" i="2"/>
  <c r="G17" i="2"/>
  <c r="H17" i="2"/>
  <c r="D13" i="2"/>
  <c r="F13" i="2"/>
  <c r="G13" i="2"/>
  <c r="H13" i="2"/>
  <c r="F65" i="2" l="1"/>
  <c r="F70" i="2" s="1"/>
  <c r="D65" i="2"/>
  <c r="D70" i="2" s="1"/>
  <c r="G65" i="2"/>
  <c r="G70" i="2" s="1"/>
  <c r="H65" i="2"/>
  <c r="H70" i="2" s="1"/>
  <c r="A8" i="2" l="1"/>
  <c r="A31" i="2"/>
  <c r="A56" i="2" l="1"/>
  <c r="A36" i="2"/>
  <c r="A27" i="2"/>
  <c r="A23" i="2"/>
  <c r="A19" i="2"/>
  <c r="A15" i="2"/>
  <c r="A11" i="2"/>
  <c r="C61" i="2"/>
  <c r="C58" i="2"/>
  <c r="E96" i="2"/>
  <c r="C53" i="2"/>
  <c r="C50" i="2"/>
  <c r="C47" i="2"/>
  <c r="C44" i="2"/>
  <c r="C41" i="2"/>
  <c r="C38" i="2"/>
  <c r="C29" i="2"/>
  <c r="C25" i="2"/>
  <c r="C21" i="2"/>
  <c r="C13" i="2"/>
  <c r="C65" i="2" l="1"/>
  <c r="C70" i="2" s="1"/>
  <c r="E73" i="2" s="1"/>
  <c r="E74" i="2" s="1"/>
  <c r="C73" i="2" l="1"/>
  <c r="C74" i="2" s="1"/>
  <c r="D73" i="2"/>
  <c r="D74" i="2" s="1"/>
  <c r="F73" i="2"/>
  <c r="F74" i="2" s="1"/>
  <c r="H73" i="2"/>
  <c r="H74" i="2" s="1"/>
  <c r="G73" i="2"/>
  <c r="G74" i="2" s="1"/>
  <c r="T65" i="2"/>
  <c r="S65" i="2"/>
  <c r="Q65" i="2"/>
  <c r="O65" i="2"/>
  <c r="R65" i="2"/>
  <c r="P65" i="2"/>
  <c r="E78" i="2" l="1"/>
  <c r="G78" i="2"/>
  <c r="H78" i="2"/>
  <c r="F78" i="2"/>
  <c r="D78" i="2"/>
  <c r="C78" i="2"/>
  <c r="I78" i="2"/>
  <c r="D44" i="1" l="1"/>
  <c r="D48" i="1"/>
  <c r="D32" i="1"/>
  <c r="D36" i="1"/>
  <c r="D40" i="1"/>
  <c r="H68" i="1"/>
  <c r="H58" i="1"/>
  <c r="H32" i="1"/>
  <c r="H36" i="1"/>
  <c r="H40" i="1"/>
  <c r="H44" i="1"/>
  <c r="H54" i="1"/>
  <c r="H48" i="1"/>
  <c r="H67" i="1"/>
  <c r="H63" i="1"/>
  <c r="H62" i="1"/>
  <c r="H61" i="1"/>
  <c r="H60" i="1"/>
  <c r="H59" i="1"/>
  <c r="G87" i="2"/>
  <c r="C88" i="2"/>
  <c r="F75" i="1" s="1"/>
  <c r="C93" i="2"/>
  <c r="F80" i="1" s="1"/>
  <c r="C92" i="2"/>
  <c r="F79" i="1" s="1"/>
  <c r="C91" i="2"/>
  <c r="F78" i="1" s="1"/>
  <c r="E92" i="2"/>
  <c r="K79" i="1" s="1"/>
  <c r="E93" i="2"/>
  <c r="K80" i="1" s="1"/>
  <c r="E91" i="2"/>
  <c r="K78" i="1" s="1"/>
  <c r="E90" i="2"/>
  <c r="K77" i="1" s="1"/>
  <c r="E88" i="2"/>
  <c r="E89" i="2"/>
  <c r="K76" i="1" s="1"/>
  <c r="C90" i="2"/>
  <c r="F77" i="1" s="1"/>
  <c r="C89" i="2"/>
  <c r="F76" i="1" s="1"/>
  <c r="K75" i="1" l="1"/>
  <c r="G71" i="1"/>
  <c r="C80" i="2"/>
  <c r="C84" i="2" s="1"/>
  <c r="I12" i="1" s="1"/>
  <c r="C81" i="2" l="1"/>
  <c r="I9" i="1" s="1"/>
  <c r="C82" i="2"/>
  <c r="I10" i="1" s="1"/>
  <c r="C83" i="2"/>
  <c r="I11" i="1" s="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20"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1"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5" authorId="1" shapeId="0" xr:uid="{69811BCD-5227-4808-8566-50E151F8BC5B}">
      <text>
        <r>
          <rPr>
            <b/>
            <sz val="9"/>
            <color indexed="81"/>
            <rFont val="Tahoma"/>
            <family val="2"/>
          </rPr>
          <t xml:space="preserve">Specifikation:
</t>
        </r>
        <r>
          <rPr>
            <sz val="9"/>
            <color indexed="81"/>
            <rFont val="Tahoma"/>
            <family val="2"/>
          </rPr>
          <t>Anbudsgivaren kan erhålla poäng om anbudsgivaren kan erbjuda en hög nivå för service och support och därför erbjuda utökad kundtjänst mellan 07.00 - 8.00 och 16.30 - 20.00.
Det finns Avropsberättigade som är i behov av en hög nivå gällande service och support utanför Arbetsdag.
För att erhålla poäng ska anbudsgivaren erbjuda följande:
• Bemannad kundtjänst för personliga samtal och felanmälan mellan klockan 07.00-20.00.
• Anmälan av fel ska kunna ske dygnet runt via en webbplats.
• Åtgärdstid för fel ska löpa mellan klockan 06.00-20.00 året runt sju dagar i veckan.
• Fel ska i första hand åtgärdas via distansuppkoppling.
• Fel ska kunna åtgärdas på plats hos Avropsberättigad om Avropsberättigad så begär det.
• Fel hos Avropsberättigad med högt behov av service och support ska kunna prioriteras högre än andra kunders fel.
Anbudsgivaren ska inkomma med en beskrivning som styrker att ovan punkter är uppfyllda. I det fall Avropsberättigad avropar utökad kundtjänst ska dessa punkter minst ingå.</t>
        </r>
      </text>
    </comment>
    <comment ref="B30" authorId="1" shapeId="0" xr:uid="{5E8A474F-3CCC-44BE-992D-6C8B757E8FB9}">
      <text>
        <r>
          <rPr>
            <b/>
            <sz val="9"/>
            <color indexed="81"/>
            <rFont val="Tahoma"/>
            <family val="2"/>
          </rPr>
          <t xml:space="preserve">Specifikation:
</t>
        </r>
        <r>
          <rPr>
            <sz val="9"/>
            <color indexed="81"/>
            <rFont val="Tahoma"/>
            <family val="2"/>
          </rPr>
          <t>Bärbar dator Windows mindre ska ha:
• en skärm som är 12,5 tum till 13,5 tum, antireflex, upplösning minst 1920x1080
• en svensk layout på tangentbordet samt integrerad styrplatta för att manövrera muspekare
• en hårddisk om 256 GB SSD
• minst 16 GB RAM-minne
• Intel Core-processor eller likvärdig
• Trusted Plattform Module, TPM 2.0 eller senare eller likvärdigt
• WiFi med stöd för minst 802.11ax (Wi-Fi 6)
• ett nätverkskort för Gigabit Ethernet
• integrerad Bluetooth: minst v. 5.0
• integrerad kamera och mikrofon
• minst en HDMI-port v 1.4 eller senare
• minst två USB-C v. 3.1 eller senare var av en port som kan ladda batteri i dator
• minst en USB-A port v. 3.1 eller senare
• vara ENERGY STAR-godkänd
• Operativsystem Windows 11 eller en senare version alternativt likvärdigt</t>
        </r>
      </text>
    </comment>
    <comment ref="B34" authorId="1" shapeId="0" xr:uid="{50D167AC-1F73-483F-8916-A731D73D7D3E}">
      <text>
        <r>
          <rPr>
            <b/>
            <sz val="9"/>
            <color indexed="81"/>
            <rFont val="Tahoma"/>
            <family val="2"/>
          </rPr>
          <t xml:space="preserve">Specifikation:
</t>
        </r>
        <r>
          <rPr>
            <sz val="9"/>
            <color indexed="81"/>
            <rFont val="Tahoma"/>
            <family val="2"/>
          </rPr>
          <t>Bärbar dator Windows större ska ha:
• en skärm om 14 tum till15,5 tum, antireflex, upplösning minst 1920x1080
• en svensk layout på tangentbordet samt Integrerad styrplatta för att manövrera muspekare
• en hårddisk om minst 256 GB SSD
• minst 16 GB RAM-minne
• Trusted Plattform Module, TPM 2.0 eller senare eller likvärdigt
• WiFi med stöd för minst 802.11ax (Wi-Fi 6)
• ett nätverkskort för Gigabit Ethernet
• integrerad smartkortsläsare som ska vara SC kompatibel och Microsoft certifierade eller likvärdigt
• integrerad Bluetooth: minst v. 5.0
• integrerad kamera och mikrofon
• inst en HDMI v 1.4 eller senare
• minst två USB-C v. 3.1 eller senare var av en port som kan ladda batteri i dator
• minst en USB-A port v. 3.1 eller senare
• Operativsystem Windows 11 eller en senare version alternativt likvärdigt</t>
        </r>
      </text>
    </comment>
    <comment ref="B38" authorId="1" shapeId="0" xr:uid="{0B91E994-9F2B-4A7C-9DDD-67C563C58016}">
      <text>
        <r>
          <rPr>
            <b/>
            <sz val="9"/>
            <color indexed="81"/>
            <rFont val="Tahoma"/>
            <family val="2"/>
          </rPr>
          <t xml:space="preserve">Specifikation:
</t>
        </r>
        <r>
          <rPr>
            <sz val="9"/>
            <color indexed="81"/>
            <rFont val="Tahoma"/>
            <family val="2"/>
          </rPr>
          <t>Bärbar dator Chrome OS ska ha:
• en skärm om minst 11,6 med upplösning minst 1366x768
• svenskt tangentbord med Integrerad styrplatta för att manövrera muspekare
• en processor som är dubbelkärnig
• en hårddisk om mist 64 GB SSD alternativt flashminne med motsvarande lagringskapacitet
• minst 8 GB RAM-minne
• WiFi med stöd för minst 802.11ax (Wi-Fi 6)
• integrerad Bluetooth med minst v. 4.2
• integrerad kamera och mikrofon
• minst två USB-C v. 3.1 eller senare var av en port som kan ladda batteri i dator
• certifiering enligt TCO Certified Notebooks 9 eller likvärdig
• operativsystem Chrome OS eller likvärdigt</t>
        </r>
      </text>
    </comment>
    <comment ref="B42" authorId="1" shapeId="0" xr:uid="{5C2874D5-3B98-4DFF-8073-EA9481D9B837}">
      <text>
        <r>
          <rPr>
            <b/>
            <sz val="9"/>
            <color indexed="81"/>
            <rFont val="Tahoma"/>
            <family val="2"/>
          </rPr>
          <t xml:space="preserve">Specifikation:
</t>
        </r>
        <r>
          <rPr>
            <sz val="9"/>
            <color indexed="81"/>
            <rFont val="Tahoma"/>
            <family val="2"/>
          </rPr>
          <t>Bärbar dator Mac OS ska ha:
• en skärm om minst 12,5 tum och upp till och med 14 tum, upplösning minst 1920x1080
• svenskt tangentbord med Integrerad styrplatta för att manövrera muspekare
• en hårddisk om minst 256 GB SSD
• minst 16 GB RAM-minne
• WiFi med stöd för minst 802.11ax (Wi-Fi 6)
• integrerad bluetooth: minst v. 5.0
• integrerad kamera och mikrofon
• minst två USB-C v. 3.1 eller senare var av en port som kan ladda batteri i dator
• ENERGY STAR-godkänd
• Operativsystem MacOS med senaste version eller likvärdigt</t>
        </r>
      </text>
    </comment>
    <comment ref="B46" authorId="1" shapeId="0" xr:uid="{CC84CF8B-C5B0-46F7-96B5-2C95D2433B0D}">
      <text>
        <r>
          <rPr>
            <b/>
            <sz val="9"/>
            <color indexed="81"/>
            <rFont val="Tahoma"/>
            <family val="2"/>
          </rPr>
          <t xml:space="preserve">Specifikation:
</t>
        </r>
        <r>
          <rPr>
            <sz val="9"/>
            <color indexed="81"/>
            <rFont val="Tahoma"/>
            <family val="2"/>
          </rPr>
          <t>Laddare med USB-C för datorer ska:
• ha en strömadapter anpassad för laddning av dator
• ha en uteffekt om minst 65W
• levereras med strömkabel med stickpropp för jordat uttag för eluttag typ F
• kunna anslutas till dator med kontakt för USB-C</t>
        </r>
      </text>
    </comment>
    <comment ref="B52" authorId="1" shapeId="0" xr:uid="{E707AEAD-4144-4ABD-B49A-9241EAF92B7C}">
      <text>
        <r>
          <rPr>
            <b/>
            <sz val="9"/>
            <color indexed="81"/>
            <rFont val="Tahoma"/>
            <family val="2"/>
          </rPr>
          <t xml:space="preserve">Specifikation:
</t>
        </r>
        <r>
          <rPr>
            <sz val="9"/>
            <color indexed="81"/>
            <rFont val="Tahoma"/>
            <family val="2"/>
          </rPr>
          <t>Anbudsgivaren kan erhålla poäng om anbudsgivaren kan erbjuda en hög nivå för service och support och därför erbjuda utökad kundtjänst mellan 07.00 - 8.00 och 16.30 - 20.00.
Det finns Avropsberättigade som är i behov av en hög nivå gällande service och support utanför Arbetsdag.
För att erhålla poäng ska anbudsgivaren erbjuda följande:
• Bemannad kundtjänst för personliga samtal och felanmälan mellan klockan 07.00-20.00.
• Anmälan av fel ska kunna ske dygnet runt via en webbplats.
• Åtgärdstid för fel ska löpa mellan klockan 06.00-20.00 året runt sju dagar i veckan.
• Fel ska i första hand åtgärdas via distansuppkoppling.
• Fel ska kunna åtgärdas på plats hos Avropsberättigad om Avropsberättigad så begär det.
• Fel hos Avropsberättigad med högt behov av service och support ska kunna prioriteras högre än andra kunders fel.
Anbudsgivaren ska inkomma med en beskrivning som styrker att ovan punkter är uppfyllda. I det fall Avropsberättigad avropar utökad kundtjänst ska dessa punkter minst ingå.</t>
        </r>
      </text>
    </comment>
    <comment ref="I53" authorId="1" shapeId="0" xr:uid="{CF9AD3DA-92A0-4C7E-BF7B-2A5952778C63}">
      <text>
        <r>
          <rPr>
            <sz val="9"/>
            <color indexed="81"/>
            <rFont val="Tahoma"/>
            <family val="2"/>
          </rPr>
          <t xml:space="preserve">Ange om det behövs information till ramavtalsleverantörern om tjänsten.
</t>
        </r>
      </text>
    </comment>
    <comment ref="B56" authorId="0" shapeId="0" xr:uid="{2CE66DFC-AF28-4DF4-8524-800F1619DDA6}">
      <text>
        <r>
          <rPr>
            <b/>
            <sz val="9"/>
            <color indexed="81"/>
            <rFont val="Tahoma"/>
            <family val="2"/>
          </rPr>
          <t>Karl-Johan Skiver:</t>
        </r>
        <r>
          <rPr>
            <sz val="9"/>
            <color indexed="81"/>
            <rFont val="Tahoma"/>
            <family val="2"/>
          </rPr>
          <t xml:space="preserve">
Följande produkter ska anbudsgivaren erbjuda skrotning med återvinning för i den särskilda fördelningsnyckeln.
</t>
        </r>
      </text>
    </comment>
    <comment ref="B57" authorId="1" shapeId="0" xr:uid="{48B0FE59-46C6-4159-840C-047B1B7A34AF}">
      <text>
        <r>
          <rPr>
            <sz val="9"/>
            <color indexed="81"/>
            <rFont val="Tahoma"/>
            <family val="2"/>
          </rPr>
          <t>Ange antal produkter tjänsten beställs till.</t>
        </r>
      </text>
    </comment>
    <comment ref="I57" authorId="1" shapeId="0" xr:uid="{A1818359-170A-47F0-91E7-A13914E87969}">
      <text>
        <r>
          <rPr>
            <sz val="9"/>
            <color indexed="81"/>
            <rFont val="Tahoma"/>
            <family val="2"/>
          </rPr>
          <t>Ange om det behövs information till ramavtalsleverantörern om tjänsten.</t>
        </r>
      </text>
    </comment>
    <comment ref="B65" authorId="0" shapeId="0" xr:uid="{E9F641D2-1BE4-42EA-B643-E5941F0CEE13}">
      <text>
        <r>
          <rPr>
            <b/>
            <sz val="9"/>
            <color indexed="81"/>
            <rFont val="Tahoma"/>
            <family val="2"/>
          </rPr>
          <t>Karl-Johan Skiver:</t>
        </r>
        <r>
          <rPr>
            <sz val="9"/>
            <color indexed="81"/>
            <rFont val="Tahoma"/>
            <family val="2"/>
          </rPr>
          <t xml:space="preserve">
Anbudsgivaren ska kunna erbjuda frakt för produkter i den särskilda fördelningsnyckeln som ska skrotas med återvinning.
</t>
        </r>
      </text>
    </comment>
    <comment ref="B66" authorId="1" shapeId="0" xr:uid="{EFC3F745-4949-4692-B6B4-9B96FF61CA9D}">
      <text>
        <r>
          <rPr>
            <sz val="9"/>
            <color indexed="81"/>
            <rFont val="Tahoma"/>
            <family val="2"/>
          </rPr>
          <t>Ange antal frakter som beställs till.</t>
        </r>
      </text>
    </comment>
    <comment ref="I66" authorId="1" shapeId="0" xr:uid="{5D194994-948F-42EF-BAC8-D6726023B216}">
      <text>
        <r>
          <rPr>
            <sz val="9"/>
            <color indexed="81"/>
            <rFont val="Tahoma"/>
            <family val="2"/>
          </rPr>
          <t xml:space="preserve">Ange om det behövs information till ramavtalsleverantörern om tjänsten.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C11" authorId="0" shapeId="0" xr:uid="{49771409-72A3-4C94-B781-3282A00CB7AA}">
      <text>
        <r>
          <rPr>
            <sz val="9"/>
            <color indexed="81"/>
            <rFont val="Tahoma"/>
            <family val="2"/>
          </rPr>
          <t>Bytt produkt 2025-09-23 EOL</t>
        </r>
      </text>
    </comment>
    <comment ref="D11" authorId="0" shapeId="0" xr:uid="{33273E68-E262-4DD4-A8C3-3434282E0058}">
      <text>
        <r>
          <rPr>
            <sz val="9"/>
            <color indexed="81"/>
            <rFont val="Tahoma"/>
            <family val="2"/>
          </rPr>
          <t>Bytt produkt 2025-09-23 EOL</t>
        </r>
      </text>
    </comment>
    <comment ref="E11" authorId="0" shapeId="0" xr:uid="{6326DD46-5B0E-4A97-9457-A7BC1C0B2525}">
      <text>
        <r>
          <rPr>
            <sz val="9"/>
            <color indexed="81"/>
            <rFont val="Tahoma"/>
            <family val="2"/>
          </rPr>
          <t>Bytt produkt 2025-09-26 EOL</t>
        </r>
      </text>
    </comment>
    <comment ref="F11" authorId="0" shapeId="0" xr:uid="{8D5AE1D7-856C-46B6-A9EE-70F8EFB5AC5F}">
      <text>
        <r>
          <rPr>
            <sz val="9"/>
            <color indexed="81"/>
            <rFont val="Tahoma"/>
            <family val="2"/>
          </rPr>
          <t>Bytt produkt 2025-09-24 EOL</t>
        </r>
      </text>
    </comment>
    <comment ref="G11" authorId="0" shapeId="0" xr:uid="{56F72F00-EA77-4ECE-8778-FEBD35F3E766}">
      <text>
        <r>
          <rPr>
            <sz val="9"/>
            <color indexed="81"/>
            <rFont val="Tahoma"/>
            <family val="2"/>
          </rPr>
          <t>Bytt produkt 2025-09-24 EOL</t>
        </r>
      </text>
    </comment>
    <comment ref="H11" authorId="0" shapeId="0" xr:uid="{94892282-3D8E-4B13-B8D4-991089EDBB1D}">
      <text>
        <r>
          <rPr>
            <sz val="9"/>
            <color indexed="81"/>
            <rFont val="Tahoma"/>
            <family val="2"/>
          </rPr>
          <t>Bytt produkt 2025-09-26 EOL</t>
        </r>
      </text>
    </comment>
    <comment ref="C12" authorId="0" shapeId="0" xr:uid="{01CFDEAE-D4C9-484A-8B7A-6371723FAB40}">
      <text>
        <r>
          <rPr>
            <sz val="9"/>
            <color indexed="81"/>
            <rFont val="Tahoma"/>
            <family val="2"/>
          </rPr>
          <t>Prisjusterat 2025-09-23 EOL</t>
        </r>
      </text>
    </comment>
    <comment ref="D12" authorId="0" shapeId="0" xr:uid="{B479C7DD-1610-4877-8EBD-D37A87C5870E}">
      <text>
        <r>
          <rPr>
            <sz val="9"/>
            <color indexed="81"/>
            <rFont val="Tahoma"/>
            <family val="2"/>
          </rPr>
          <t xml:space="preserve">Prisjusterat 2025-09-23 EOL
</t>
        </r>
      </text>
    </comment>
    <comment ref="F12" authorId="0" shapeId="0" xr:uid="{EEAEBAC7-EEEA-4091-8BDC-C47068D0D17F}">
      <text>
        <r>
          <rPr>
            <sz val="9"/>
            <color indexed="81"/>
            <rFont val="Tahoma"/>
            <family val="2"/>
          </rPr>
          <t>Prisjusterat 2025-09-24 EOL</t>
        </r>
      </text>
    </comment>
    <comment ref="G12" authorId="0" shapeId="0" xr:uid="{55568D41-801F-4A79-AD44-5F61D03DC324}">
      <text>
        <r>
          <rPr>
            <sz val="9"/>
            <color indexed="81"/>
            <rFont val="Tahoma"/>
            <family val="2"/>
          </rPr>
          <t>Prisjusterat 2025-09-24 EOL</t>
        </r>
      </text>
    </comment>
    <comment ref="H12" authorId="0" shapeId="0" xr:uid="{55EFA9FF-0BC3-4131-80D2-052CA64EF2C7}">
      <text>
        <r>
          <rPr>
            <sz val="9"/>
            <color indexed="81"/>
            <rFont val="Tahoma"/>
            <family val="2"/>
          </rPr>
          <t>Prisjusterat 2025-09-26 EOL</t>
        </r>
      </text>
    </comment>
    <comment ref="C15" authorId="0" shapeId="0" xr:uid="{63DA57BC-D627-4914-98D0-AAEB8BA25861}">
      <text>
        <r>
          <rPr>
            <sz val="9"/>
            <color indexed="81"/>
            <rFont val="Tahoma"/>
            <family val="2"/>
          </rPr>
          <t>Bytt produkt 2025-09-23 EOL</t>
        </r>
      </text>
    </comment>
    <comment ref="D15" authorId="0" shapeId="0" xr:uid="{F3A9C65E-73F3-424D-99F3-D95E10644033}">
      <text>
        <r>
          <rPr>
            <sz val="9"/>
            <color indexed="81"/>
            <rFont val="Tahoma"/>
            <family val="2"/>
          </rPr>
          <t>Bytt produkt 2025-09-23 EOL</t>
        </r>
      </text>
    </comment>
    <comment ref="E15" authorId="0" shapeId="0" xr:uid="{D6642063-F448-499B-8BA1-2CD778BEC83F}">
      <text>
        <r>
          <rPr>
            <sz val="9"/>
            <color indexed="81"/>
            <rFont val="Tahoma"/>
            <family val="2"/>
          </rPr>
          <t>Bytt produkt 2025-09-26 EOL</t>
        </r>
      </text>
    </comment>
    <comment ref="F15" authorId="0" shapeId="0" xr:uid="{3344DB13-387B-485D-9825-8A2156C74D0B}">
      <text>
        <r>
          <rPr>
            <sz val="9"/>
            <color indexed="81"/>
            <rFont val="Tahoma"/>
            <family val="2"/>
          </rPr>
          <t>Bytt produkt 2025-09-24 EOL</t>
        </r>
      </text>
    </comment>
    <comment ref="G15" authorId="0" shapeId="0" xr:uid="{0350790A-A446-40C5-9BDC-AFDB102617A4}">
      <text>
        <r>
          <rPr>
            <sz val="9"/>
            <color indexed="81"/>
            <rFont val="Tahoma"/>
            <family val="2"/>
          </rPr>
          <t>Bytt produkt 2025-09-24 EOL</t>
        </r>
      </text>
    </comment>
    <comment ref="H15" authorId="0" shapeId="0" xr:uid="{6227CD05-8E39-4A18-8277-9201825EC34A}">
      <text>
        <r>
          <rPr>
            <sz val="9"/>
            <color indexed="81"/>
            <rFont val="Tahoma"/>
            <family val="2"/>
          </rPr>
          <t>Bytt produkt 2025-09-26 EOL</t>
        </r>
      </text>
    </comment>
    <comment ref="C16" authorId="0" shapeId="0" xr:uid="{5736C623-5FAD-4ADE-922A-5E20A0F41148}">
      <text>
        <r>
          <rPr>
            <sz val="9"/>
            <color indexed="81"/>
            <rFont val="Tahoma"/>
            <family val="2"/>
          </rPr>
          <t>Prisjusterat 2025-09-23 EOL</t>
        </r>
      </text>
    </comment>
    <comment ref="D16" authorId="0" shapeId="0" xr:uid="{193A2F18-0822-41B6-A2DE-8C46F1456C6D}">
      <text>
        <r>
          <rPr>
            <sz val="9"/>
            <color indexed="81"/>
            <rFont val="Tahoma"/>
            <family val="2"/>
          </rPr>
          <t>Prisjusterat 2025-09-23 EOL</t>
        </r>
      </text>
    </comment>
    <comment ref="F16" authorId="0" shapeId="0" xr:uid="{45C5CE2A-C455-44BE-8AD9-E30233090259}">
      <text>
        <r>
          <rPr>
            <sz val="9"/>
            <color indexed="81"/>
            <rFont val="Tahoma"/>
            <family val="2"/>
          </rPr>
          <t>Prisjusterat 2025-09-24 EOL</t>
        </r>
      </text>
    </comment>
    <comment ref="G16" authorId="0" shapeId="0" xr:uid="{17AC5185-5CF7-4430-8638-79174FD14C45}">
      <text>
        <r>
          <rPr>
            <sz val="9"/>
            <color indexed="81"/>
            <rFont val="Tahoma"/>
            <family val="2"/>
          </rPr>
          <t>Prisjusterat 2025-09-24 EOL</t>
        </r>
      </text>
    </comment>
    <comment ref="H16" authorId="0" shapeId="0" xr:uid="{F731C1E4-AB48-48FF-9229-2DA259D33FC6}">
      <text>
        <r>
          <rPr>
            <sz val="9"/>
            <color indexed="81"/>
            <rFont val="Tahoma"/>
            <family val="2"/>
          </rPr>
          <t>Prisjusterat 2025-09-26 EOL</t>
        </r>
      </text>
    </comment>
    <comment ref="C19" authorId="0" shapeId="0" xr:uid="{D76BF9E9-1674-4BF5-B373-BFFC3B2AF4AA}">
      <text>
        <r>
          <rPr>
            <sz val="9"/>
            <color indexed="81"/>
            <rFont val="Tahoma"/>
            <family val="2"/>
          </rPr>
          <t>Bytt produkt 2025-09-23 EOL</t>
        </r>
      </text>
    </comment>
    <comment ref="C20" authorId="0" shapeId="0" xr:uid="{A7F01606-D4E2-4D62-9868-325910C20210}">
      <text>
        <r>
          <rPr>
            <sz val="9"/>
            <color indexed="81"/>
            <rFont val="Tahoma"/>
            <family val="2"/>
          </rPr>
          <t>Prisjusterat 2025-09-23 EOL</t>
        </r>
      </text>
    </comment>
    <comment ref="C23" authorId="0" shapeId="0" xr:uid="{6EEE71FF-EDF5-4875-A8E7-E66F32216E28}">
      <text>
        <r>
          <rPr>
            <sz val="9"/>
            <color indexed="81"/>
            <rFont val="Tahoma"/>
            <family val="2"/>
          </rPr>
          <t>Bytt produkt 2025-09-23 EOL</t>
        </r>
      </text>
    </comment>
    <comment ref="D23" authorId="0" shapeId="0" xr:uid="{4CACFBF7-4B8D-4945-8247-62082031DB5C}">
      <text>
        <r>
          <rPr>
            <sz val="9"/>
            <color indexed="81"/>
            <rFont val="Tahoma"/>
            <family val="2"/>
          </rPr>
          <t>Bytt produkt 2025-09-23 EOL</t>
        </r>
      </text>
    </comment>
    <comment ref="F23" authorId="0" shapeId="0" xr:uid="{866D0F0F-CA92-47B7-9AF1-7F4E4C7E3414}">
      <text>
        <r>
          <rPr>
            <sz val="9"/>
            <color indexed="81"/>
            <rFont val="Tahoma"/>
            <family val="2"/>
          </rPr>
          <t>Bytt produkt 2025-09-24 EOL</t>
        </r>
      </text>
    </comment>
    <comment ref="C24" authorId="0" shapeId="0" xr:uid="{678B0750-2591-4C02-BD26-3002A9082534}">
      <text>
        <r>
          <rPr>
            <sz val="9"/>
            <color indexed="81"/>
            <rFont val="Tahoma"/>
            <family val="2"/>
          </rPr>
          <t>Prisjusterat 2025-09-23 EOL</t>
        </r>
      </text>
    </comment>
    <comment ref="D24" authorId="0" shapeId="0" xr:uid="{CFFF719F-7551-4A3B-A6C2-19860E5E3DC5}">
      <text>
        <r>
          <rPr>
            <sz val="9"/>
            <color indexed="81"/>
            <rFont val="Tahoma"/>
            <family val="2"/>
          </rPr>
          <t>Prisjusterat 2025-09-23 EOL</t>
        </r>
      </text>
    </comment>
    <comment ref="F24" authorId="0" shapeId="0" xr:uid="{58D08721-5811-4479-AFCB-F08D1779F31B}">
      <text>
        <r>
          <rPr>
            <sz val="9"/>
            <color indexed="81"/>
            <rFont val="Tahoma"/>
            <family val="2"/>
          </rPr>
          <t>Prisjusterat 2025-09-24 EOL</t>
        </r>
      </text>
    </comment>
  </commentList>
</comments>
</file>

<file path=xl/sharedStrings.xml><?xml version="1.0" encoding="utf-8"?>
<sst xmlns="http://schemas.openxmlformats.org/spreadsheetml/2006/main" count="229" uniqueCount="161">
  <si>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</si>
  <si>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</si>
  <si>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</si>
  <si>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</si>
  <si>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</si>
  <si>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</si>
  <si>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</si>
  <si>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</si>
  <si>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</si>
  <si>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</si>
  <si>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</si>
  <si>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</si>
  <si>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</si>
  <si>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</si>
  <si>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</si>
  <si>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</si>
  <si>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</si>
  <si>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</si>
  <si>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</si>
  <si>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</si>
  <si>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</si>
  <si>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</si>
  <si>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</si>
  <si>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</si>
  <si>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</si>
  <si>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</si>
  <si>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</si>
  <si>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Kontraktstid</t>
  </si>
  <si>
    <t>Tjänster</t>
  </si>
  <si>
    <t>Tjänst</t>
  </si>
  <si>
    <t>Standard e-faktura</t>
  </si>
  <si>
    <t>Org.nr</t>
  </si>
  <si>
    <t>Tel.nr.</t>
  </si>
  <si>
    <t>E-post</t>
  </si>
  <si>
    <t xml:space="preserve">Datum </t>
  </si>
  <si>
    <t>Information</t>
  </si>
  <si>
    <t>Rangordning för beställning</t>
  </si>
  <si>
    <t>Om vinnnande ramavtalsleverantör inte kan leverera, visa nästa i rangordningen för avropet</t>
  </si>
  <si>
    <t>Produkt</t>
  </si>
  <si>
    <t xml:space="preserve">Rangordnad 4:a </t>
  </si>
  <si>
    <t>Kund</t>
  </si>
  <si>
    <t>Advania Sverige AB</t>
  </si>
  <si>
    <t>Atea Sverige AB</t>
  </si>
  <si>
    <t>556214-9996</t>
  </si>
  <si>
    <t>556448-0282</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</si>
  <si>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</si>
  <si>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</si>
  <si>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</si>
  <si>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</si>
  <si>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</si>
  <si>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</si>
  <si>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</si>
  <si>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</si>
  <si>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</si>
  <si>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</si>
  <si>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</si>
  <si>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</si>
  <si>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</si>
  <si>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Per Stenlåås</t>
  </si>
  <si>
    <t>Enrolment ID</t>
  </si>
  <si>
    <t>MSA-nummer</t>
  </si>
  <si>
    <t>Foxway AB</t>
  </si>
  <si>
    <t>556470-0309</t>
  </si>
  <si>
    <t xml:space="preserve">Bid Advania (Cecilia Imbro) </t>
  </si>
  <si>
    <t>08-546 700 00</t>
  </si>
  <si>
    <t>Björn Andersson</t>
  </si>
  <si>
    <t>0243-24 89 85</t>
  </si>
  <si>
    <t>0739 10 72 55</t>
  </si>
  <si>
    <t>Särskild fördelningsnyckel</t>
  </si>
  <si>
    <t>Bärbar dator</t>
  </si>
  <si>
    <t>Datormus</t>
  </si>
  <si>
    <t>Tangentbord</t>
  </si>
  <si>
    <t>Dockningsenhet</t>
  </si>
  <si>
    <t>Headset</t>
  </si>
  <si>
    <t>Laddare</t>
  </si>
  <si>
    <t>Upp till 20 kg</t>
  </si>
  <si>
    <t>Upp till 50 kg</t>
  </si>
  <si>
    <t>Alla fabriksnya bärbara datorer ska vara försedda med minst en port som passar kablar med anslutning för USB-C. Porten ska kunna ladda batteriet i den bärbara datorn.</t>
  </si>
  <si>
    <t>Anbudsgivaren ska leverera produkter som ingår i en Avropsförfrågan i inom max 25 Arbetsdagar, om inte annat anges i Kontrakt.</t>
  </si>
  <si>
    <t xml:space="preserve">Generella krav som ställdes i upphandlingen och som gäller för produkterna i den särskilda fördelningsnyckeln </t>
  </si>
  <si>
    <t>För information om till exempel leveransvillkor, viten och med flera. se Upphandllingsdokumentet, Allmänna vilkor samt Vägledningen.</t>
  </si>
  <si>
    <t>Priser</t>
  </si>
  <si>
    <t>Summa Totalt</t>
  </si>
  <si>
    <t>Dustin Sverige AB</t>
  </si>
  <si>
    <t>Skrotning med återvinning - bärbar dator</t>
  </si>
  <si>
    <t>Skrotning med återvinning - datormus</t>
  </si>
  <si>
    <t>Skrotning med återvinning - tangentbord</t>
  </si>
  <si>
    <t>Skrotning med återvinning - dockningsenhet</t>
  </si>
  <si>
    <t>Skrotning med återvinning - headset</t>
  </si>
  <si>
    <t>Skrotning med återvinning - laddare</t>
  </si>
  <si>
    <t>Frakt upp till 50 kg</t>
  </si>
  <si>
    <t>Pris per enhet</t>
  </si>
  <si>
    <t>Frakt upp till 20 kg</t>
  </si>
  <si>
    <t>Antal månader</t>
  </si>
  <si>
    <t>Antal enheter</t>
  </si>
  <si>
    <t>Avropsförfrågan inklusive Kontrakt</t>
  </si>
  <si>
    <t>Bärbara datorer</t>
  </si>
  <si>
    <t>Diarienummer 23.3.3262-2024</t>
  </si>
  <si>
    <t>4.1.2.1 Bärbar dator Windows Mindre</t>
  </si>
  <si>
    <t>4.1.1.1 Port för USB-C</t>
  </si>
  <si>
    <t>4.1.1.2 Batteriets hälsotillstånd</t>
  </si>
  <si>
    <t>Alla fabriksnya bärbara datorer ska klara av att batteriets testade hälsotillstånd efter 300 laddningscykler ska vara ≥ 80 %. Provningarna ska genomföras enligt standarden IEC EN 61960-3:2017 eller likvärdigt.
Med hälsotillstånd avses att aktuell full laddningskapacitet (i mAh) uttryckt i procent av den dimensionerade kapaciteten (nominell kapacitet).</t>
  </si>
  <si>
    <t>4.1.1.3 Bildskärmar energieffektivitetsklass</t>
  </si>
  <si>
    <t>Alla fabriksnya bildskärmar ska minst uppfylla energieffektivitetsklass D för bildskärmar, i enlighet med förordning (EU) 2019/2013 om komplettering av förordning (EU) 2017/1369 vad gäller energimärkning av elektroniska bildskärmar.</t>
  </si>
  <si>
    <t>4.1.1.4 Leveranstid</t>
  </si>
  <si>
    <t>4.1.2 Produkter i den särskilda fördelningsnyckeln</t>
  </si>
  <si>
    <t>De bärbara datorerna ska vara anpassade för företag det vill säga produktserier som främst vänder sig till större företag och organisationer med en livscykel på minst 15 månader samt stöd för vPro och TPM eller likvärdigt.
De bärbara datorerna ska vara dockningsbara via minst varumärkesägarens egna märke eller annat märke med anslutning för USB-C eller likvärdigt.
Observera att de generella krav även gäller för utbudet i den särskilda fördelningsnyckeln, där kraven är tillämpliga.
Priser för dessa produkter och tjänster ska anges i kapitel Prövning och utvärdering.
Vid prissättning av produkten accepterar anbudsgivaren även kraven kopplade till produkten.</t>
  </si>
  <si>
    <t>4.1.2.2 Bärbar dator Windows Större</t>
  </si>
  <si>
    <t>4.1.2.3 Bärbar dator Chrome OS</t>
  </si>
  <si>
    <t>4.1.2.4 Bärbar dator Mac OS</t>
  </si>
  <si>
    <t>4.1.2.5 Laddare med USB-C för datorer</t>
  </si>
  <si>
    <t>Produkter</t>
  </si>
  <si>
    <t>4.1.3.1 Skrotning och återvinning</t>
  </si>
  <si>
    <t>3.4.5 Återvunnet material</t>
  </si>
  <si>
    <t>3.4.6 TCO Certified för Windows</t>
  </si>
  <si>
    <t>3.4.7 Touch-skärm</t>
  </si>
  <si>
    <t xml:space="preserve">Rangordnad 5:a </t>
  </si>
  <si>
    <t xml:space="preserve">Rangordnad 6:a </t>
  </si>
  <si>
    <t>item8 Sverige AB</t>
  </si>
  <si>
    <t>4.1.3.2 Frakt för produkter som ska skrotas med återvinning</t>
  </si>
  <si>
    <t>3.4.4 Utökad kundtjänst</t>
  </si>
  <si>
    <t>2. Fyll i ditt behov, ange antal hårdvaror (maximalt 200 st bärbara datorer och 24 avrop per år) och eventuella uppgraderingar, tillbehör och tjänster som önskas. 
     Inget tak på uppgraderingar, tillbehör och tjänster</t>
  </si>
  <si>
    <t xml:space="preserve">Bärbara datorer i den särskilda fördelningsnyckeln ska till viss andel bestå av återvunnet material. </t>
  </si>
  <si>
    <t>Bärbara datorerna för Windows i den särskilda fördelningsnyckeln ska vara certifierade enligt TCO Certified Notebooks 9 eller likvärdigt.</t>
  </si>
  <si>
    <t>De bärbara datorerna i den särskilda fördelningsnyckeln ska ha en touch-skärm. Bärbar dator med MacOS är undantaget. De behöver inte ha touchskärm.</t>
  </si>
  <si>
    <t>Samtliga ramavtalsleverantörer svarade i upphandlingen att de uppfyller kriterierna nedan. Vilket innebär att samtliga ramavtalsleverantörer ska leverera enligt nedan.</t>
  </si>
  <si>
    <t>556770-7244</t>
  </si>
  <si>
    <t>Iver Workplace AB</t>
  </si>
  <si>
    <t>Magnus Bringefors</t>
  </si>
  <si>
    <t>0735-18 02 26</t>
  </si>
  <si>
    <t>556666-1012</t>
  </si>
  <si>
    <t>upphandling.workplace@iver.se</t>
  </si>
  <si>
    <t>public@dustin.se</t>
  </si>
  <si>
    <t>barbaradatorer@atea.se</t>
  </si>
  <si>
    <t>kamkoklient25@foxway.com</t>
  </si>
  <si>
    <t>avrop@itm8.com</t>
  </si>
  <si>
    <t>Roger Hellmark</t>
  </si>
  <si>
    <t>070-833 30 15</t>
  </si>
  <si>
    <t>556990-8485</t>
  </si>
  <si>
    <t>HP Elitec640 14" G3 Crombook</t>
  </si>
  <si>
    <t>Laddare USB-C</t>
  </si>
  <si>
    <t>Macbook air M2 chip</t>
  </si>
  <si>
    <t>wpavrop@advania.com</t>
  </si>
  <si>
    <t>HP EliteBook 6 G1i 13 AI</t>
  </si>
  <si>
    <t xml:space="preserve">HP EliteBook 6 G1i 14 AI </t>
  </si>
  <si>
    <t>HP Elite c640 G3 Chromebook</t>
  </si>
  <si>
    <t>MacBook Air - 13.6"</t>
  </si>
  <si>
    <t>HP EliteBook 6 G1i 13 AI med touchskärm</t>
  </si>
  <si>
    <t>HP EliteBook 6 G1i 14 AI med touchskärm</t>
  </si>
  <si>
    <t>Apple MacBook Air - 13.6” - M4</t>
  </si>
  <si>
    <t>HP Elitebook 6 G1i 13" med touchskärm</t>
  </si>
  <si>
    <t>HP Elitebook 6 G1i 14" med Touchskärm</t>
  </si>
  <si>
    <t xml:space="preserve">MacBook Air (2025) Silver </t>
  </si>
  <si>
    <t>HP Elitebook 6 G1i 14" med touchskärm</t>
  </si>
  <si>
    <t>Dell Pro 13 Plus PB13250 med Touch</t>
  </si>
  <si>
    <t>Dell Pro 14 PC14250 med Touch</t>
  </si>
  <si>
    <t>Rev datum 2025-09-26</t>
  </si>
  <si>
    <t>Dell Pro 13 Plus</t>
  </si>
  <si>
    <t>Dell Pro 14</t>
  </si>
  <si>
    <t>Shakil Zaman</t>
  </si>
  <si>
    <t>076-511 59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</si>
</sst>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7"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sz val="8"/>
      <name val="Franklin Gothic Book"/>
      <family val="2"/>
      <scheme val="minor"/>
    </font>
    <font>
      <sz val="11"/>
      <color theme="1"/>
      <name val="Franklin Gothic Book"/>
      <family val="2"/>
    </font>
    <font>
      <b/>
      <sz val="20"/>
      <color theme="1"/>
      <name val="Franklin Gothic Book"/>
      <family val="2"/>
      <scheme val="minor"/>
    </font>
    <font>
      <b/>
      <sz val="12"/>
      <color theme="1"/>
      <name val="Franklin Gothic Book"/>
      <family val="2"/>
      <scheme val="minor"/>
    </font>
    <font>
      <sz val="10"/>
      <color theme="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6">
    <xf numFmtId="0" fontId="0" fillId="0" borderId="0"/>
    <xf numFmtId="0" fontId="14" fillId="0" borderId="0" applyNumberFormat="0" applyFill="0" applyBorder="0" applyAlignment="0" applyProtection="0"/>
    <xf numFmtId="0" fontId="3" fillId="0" borderId="0"/>
    <xf numFmtId="0" fontId="2" fillId="0" borderId="0"/>
    <xf numFmtId="0" fontId="1" fillId="0" borderId="0"/>
    <xf numFmtId="0" fontId="1" fillId="0" borderId="0"/>
  </cellStyleXfs>
  <cellXfs count="158">
    <xf numFmtId="0" fontId="0" fillId="0" borderId="0" xfId="0"/>
    <xf numFmtId="0" fontId="0" fillId="3" borderId="1" xfId="0" applyFill="1" applyBorder="1"/>
    <xf numFmtId="0" fontId="0" fillId="3" borderId="0" xfId="0" applyFill="1"/>
    <xf numFmtId="0" fontId="0" fillId="3" borderId="0" xfId="0" applyFill="1" applyAlignment="1">
      <alignment horizontal="center"/>
    </xf>
    <xf numFmtId="0" fontId="6" fillId="3" borderId="1" xfId="0" applyFont="1" applyFill="1" applyBorder="1"/>
    <xf numFmtId="0" fontId="0" fillId="3" borderId="0" xfId="0" applyFill="1" applyAlignment="1">
      <alignment wrapText="1"/>
    </xf>
    <xf numFmtId="164" fontId="6" fillId="3" borderId="1" xfId="0" applyNumberFormat="1" applyFont="1" applyFill="1" applyBorder="1"/>
    <xf numFmtId="164" fontId="0" fillId="3" borderId="1" xfId="0" applyNumberFormat="1" applyFill="1" applyBorder="1"/>
    <xf numFmtId="0" fontId="6" fillId="3" borderId="0" xfId="0" applyFont="1" applyFill="1" applyAlignment="1">
      <alignment wrapText="1"/>
    </xf>
    <xf numFmtId="164" fontId="6" fillId="3" borderId="0" xfId="0" applyNumberFormat="1" applyFont="1" applyFill="1"/>
    <xf numFmtId="0" fontId="10" fillId="3" borderId="0" xfId="0" applyFont="1" applyFill="1"/>
    <xf numFmtId="0" fontId="7"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4" fillId="3" borderId="0" xfId="1" applyFill="1"/>
    <xf numFmtId="0" fontId="15" fillId="3" borderId="0" xfId="0" applyFont="1" applyFill="1"/>
    <xf numFmtId="0" fontId="16" fillId="3" borderId="0" xfId="0" applyFont="1" applyFill="1"/>
    <xf numFmtId="0" fontId="9" fillId="3" borderId="0" xfId="0" applyFont="1" applyFill="1"/>
    <xf numFmtId="0" fontId="13"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6" fillId="3" borderId="1" xfId="0" applyFont="1" applyFill="1" applyBorder="1" applyAlignment="1">
      <alignment wrapText="1"/>
    </xf>
    <xf numFmtId="0" fontId="19" fillId="3" borderId="1" xfId="0" applyFont="1" applyFill="1" applyBorder="1"/>
    <xf numFmtId="0" fontId="7" fillId="3" borderId="1" xfId="0" applyFont="1" applyFill="1" applyBorder="1"/>
    <xf numFmtId="0" fontId="20" fillId="3" borderId="0" xfId="0" applyFont="1" applyFill="1"/>
    <xf numFmtId="0" fontId="0" fillId="3" borderId="1" xfId="0" applyFill="1" applyBorder="1" applyAlignment="1">
      <alignment horizontal="center" wrapText="1"/>
    </xf>
    <xf numFmtId="0" fontId="12" fillId="3" borderId="0" xfId="0" applyFont="1" applyFill="1" applyAlignment="1">
      <alignment horizontal="left"/>
    </xf>
    <xf numFmtId="0" fontId="12"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6" fillId="3" borderId="16" xfId="0" applyFont="1" applyFill="1" applyBorder="1" applyAlignment="1">
      <alignment horizontal="left" wrapText="1"/>
    </xf>
    <xf numFmtId="0" fontId="6" fillId="3" borderId="17" xfId="0" applyFont="1" applyFill="1" applyBorder="1" applyAlignment="1">
      <alignment horizontal="left" wrapText="1"/>
    </xf>
    <xf numFmtId="0" fontId="21" fillId="3" borderId="0" xfId="0" applyFont="1" applyFill="1"/>
    <xf numFmtId="165" fontId="0" fillId="3" borderId="15" xfId="0" applyNumberFormat="1" applyFill="1" applyBorder="1"/>
    <xf numFmtId="0" fontId="0" fillId="3" borderId="9" xfId="0" applyFill="1" applyBorder="1"/>
    <xf numFmtId="0" fontId="6" fillId="3" borderId="24" xfId="0" applyFont="1" applyFill="1" applyBorder="1"/>
    <xf numFmtId="0" fontId="6" fillId="0" borderId="17" xfId="0" applyFont="1" applyBorder="1"/>
    <xf numFmtId="0" fontId="0" fillId="3" borderId="16" xfId="0" applyFill="1" applyBorder="1" applyAlignment="1">
      <alignment horizontal="center"/>
    </xf>
    <xf numFmtId="164" fontId="6" fillId="3" borderId="23" xfId="0" applyNumberFormat="1" applyFont="1" applyFill="1" applyBorder="1"/>
    <xf numFmtId="0" fontId="23" fillId="0" borderId="0" xfId="0" applyFont="1" applyAlignment="1">
      <alignment horizontal="left" vertical="center" indent="1"/>
    </xf>
    <xf numFmtId="0" fontId="23" fillId="0" borderId="0" xfId="0" applyFont="1"/>
    <xf numFmtId="0" fontId="4" fillId="0" borderId="0" xfId="0" applyFont="1" applyAlignment="1">
      <alignment horizontal="left" vertical="center" indent="1"/>
    </xf>
    <xf numFmtId="0" fontId="15"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0" xfId="0" applyFill="1" applyBorder="1"/>
    <xf numFmtId="0" fontId="0" fillId="5" borderId="1" xfId="0" applyFill="1" applyBorder="1"/>
    <xf numFmtId="0" fontId="14" fillId="5" borderId="1" xfId="1" applyFill="1" applyBorder="1"/>
    <xf numFmtId="0" fontId="14" fillId="5" borderId="0" xfId="1" applyFill="1" applyAlignment="1">
      <alignment vertical="center"/>
    </xf>
    <xf numFmtId="0" fontId="0" fillId="3" borderId="0" xfId="0" applyFill="1" applyAlignment="1"/>
    <xf numFmtId="0" fontId="0" fillId="0" borderId="0" xfId="0" applyAlignment="1">
      <alignment wrapText="1"/>
    </xf>
    <xf numFmtId="0" fontId="0" fillId="3" borderId="14" xfId="0" applyFill="1" applyBorder="1" applyAlignment="1"/>
    <xf numFmtId="164" fontId="0" fillId="0" borderId="0" xfId="0" applyNumberFormat="1"/>
    <xf numFmtId="0" fontId="0" fillId="3" borderId="1" xfId="0" applyFill="1" applyBorder="1" applyAlignment="1">
      <alignment horizontal="left" wrapText="1"/>
    </xf>
    <xf numFmtId="164" fontId="0" fillId="0" borderId="17" xfId="0" applyNumberFormat="1" applyBorder="1"/>
    <xf numFmtId="0" fontId="0" fillId="6" borderId="0" xfId="0" applyNumberFormat="1" applyFill="1"/>
    <xf numFmtId="0" fontId="0" fillId="3" borderId="0" xfId="0" applyFill="1" applyBorder="1" applyAlignment="1"/>
    <xf numFmtId="0" fontId="6" fillId="3" borderId="1" xfId="0" applyFont="1" applyFill="1" applyBorder="1" applyAlignment="1">
      <alignment horizontal="left" wrapText="1"/>
    </xf>
    <xf numFmtId="0" fontId="0" fillId="3" borderId="0" xfId="0" applyFill="1" applyAlignment="1"/>
    <xf numFmtId="0" fontId="0" fillId="3" borderId="0" xfId="0" applyFill="1" applyAlignment="1">
      <alignment wrapText="1"/>
    </xf>
    <xf numFmtId="0" fontId="0" fillId="0" borderId="0" xfId="0" applyAlignment="1">
      <alignment wrapText="1"/>
    </xf>
    <xf numFmtId="0" fontId="0" fillId="3" borderId="0" xfId="0" applyFill="1" applyBorder="1" applyAlignment="1">
      <alignment wrapText="1"/>
    </xf>
    <xf numFmtId="0" fontId="6" fillId="3" borderId="0" xfId="0" applyFont="1" applyFill="1"/>
    <xf numFmtId="0" fontId="25" fillId="3" borderId="0" xfId="0" applyFont="1" applyFill="1"/>
    <xf numFmtId="164" fontId="0" fillId="0" borderId="1" xfId="0" applyNumberFormat="1" applyBorder="1"/>
    <xf numFmtId="0" fontId="25" fillId="3" borderId="0" xfId="0" applyFont="1" applyFill="1" applyAlignment="1">
      <alignment wrapText="1"/>
    </xf>
    <xf numFmtId="0" fontId="0" fillId="3" borderId="22" xfId="0" applyFill="1" applyBorder="1" applyAlignment="1"/>
    <xf numFmtId="0" fontId="0" fillId="3" borderId="15" xfId="0" applyFill="1" applyBorder="1" applyAlignment="1"/>
    <xf numFmtId="0" fontId="0" fillId="3" borderId="9" xfId="0" applyFill="1" applyBorder="1" applyAlignment="1"/>
    <xf numFmtId="0" fontId="0" fillId="0" borderId="0" xfId="0" applyBorder="1" applyAlignment="1">
      <alignment vertical="top" wrapText="1"/>
    </xf>
    <xf numFmtId="164" fontId="0" fillId="3" borderId="0" xfId="0" applyNumberFormat="1" applyFill="1" applyBorder="1"/>
    <xf numFmtId="0" fontId="0" fillId="3" borderId="0" xfId="0" applyFill="1" applyAlignment="1">
      <alignment horizontal="left" vertical="top"/>
    </xf>
    <xf numFmtId="0" fontId="6" fillId="3" borderId="24" xfId="0" applyFont="1" applyFill="1" applyBorder="1" applyAlignment="1">
      <alignment horizontal="left" wrapText="1"/>
    </xf>
    <xf numFmtId="0" fontId="0" fillId="3" borderId="24" xfId="0" applyFill="1" applyBorder="1" applyAlignment="1">
      <alignment horizontal="center"/>
    </xf>
    <xf numFmtId="0" fontId="24" fillId="3" borderId="0" xfId="0" applyFont="1" applyFill="1"/>
    <xf numFmtId="0" fontId="0" fillId="3" borderId="0" xfId="0" applyFill="1" applyBorder="1" applyAlignment="1">
      <alignment horizontal="left" wrapText="1"/>
    </xf>
    <xf numFmtId="0" fontId="0" fillId="3" borderId="0" xfId="0" applyFill="1" applyBorder="1" applyAlignment="1">
      <alignment horizontal="center" wrapText="1"/>
    </xf>
    <xf numFmtId="0" fontId="26" fillId="3" borderId="0" xfId="0" applyFont="1" applyFill="1"/>
    <xf numFmtId="0" fontId="0" fillId="3" borderId="0" xfId="0" applyFill="1" applyAlignment="1">
      <alignment wrapText="1"/>
    </xf>
    <xf numFmtId="0" fontId="0" fillId="0" borderId="0" xfId="0" applyAlignment="1">
      <alignment wrapText="1"/>
    </xf>
    <xf numFmtId="0" fontId="0" fillId="4" borderId="24" xfId="0" applyFill="1" applyBorder="1" applyAlignment="1">
      <alignment horizontal="center" vertical="top"/>
    </xf>
    <xf numFmtId="0" fontId="0" fillId="0" borderId="5" xfId="0" applyBorder="1" applyAlignment="1">
      <alignment horizontal="center" vertical="top"/>
    </xf>
    <xf numFmtId="0" fontId="0" fillId="0" borderId="27" xfId="0" applyBorder="1" applyAlignment="1">
      <alignment horizontal="center" vertical="top"/>
    </xf>
    <xf numFmtId="0" fontId="0" fillId="4" borderId="28" xfId="0" applyFill="1" applyBorder="1" applyAlignment="1">
      <alignment horizontal="center" vertical="top"/>
    </xf>
    <xf numFmtId="0" fontId="0" fillId="0" borderId="9" xfId="0" applyBorder="1" applyAlignment="1">
      <alignment horizontal="center" vertical="top"/>
    </xf>
    <xf numFmtId="0" fontId="0" fillId="0" borderId="29" xfId="0" applyBorder="1" applyAlignment="1">
      <alignment horizontal="center" vertical="top"/>
    </xf>
    <xf numFmtId="49" fontId="5"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164" fontId="8" fillId="3" borderId="14" xfId="0" applyNumberFormat="1" applyFont="1" applyFill="1" applyBorder="1"/>
    <xf numFmtId="0" fontId="0" fillId="0" borderId="14" xfId="0" applyBorder="1"/>
    <xf numFmtId="0" fontId="15" fillId="3" borderId="2" xfId="0" applyFont="1" applyFill="1" applyBorder="1" applyAlignment="1">
      <alignment vertical="top" wrapText="1"/>
    </xf>
    <xf numFmtId="0" fontId="15" fillId="3" borderId="5" xfId="0" applyFont="1" applyFill="1" applyBorder="1" applyAlignment="1">
      <alignment vertical="top" wrapText="1"/>
    </xf>
    <xf numFmtId="0" fontId="15" fillId="3" borderId="4" xfId="0" applyFont="1" applyFill="1" applyBorder="1" applyAlignment="1">
      <alignment vertical="top" wrapText="1"/>
    </xf>
    <xf numFmtId="0" fontId="6" fillId="3" borderId="22" xfId="0" applyFont="1" applyFill="1" applyBorder="1" applyAlignment="1">
      <alignment horizontal="left"/>
    </xf>
    <xf numFmtId="0" fontId="6" fillId="3" borderId="14" xfId="0" applyFont="1" applyFill="1" applyBorder="1" applyAlignment="1">
      <alignment horizontal="left"/>
    </xf>
    <xf numFmtId="0" fontId="0" fillId="3" borderId="2" xfId="0" applyFont="1" applyFill="1" applyBorder="1" applyAlignment="1">
      <alignment horizontal="left" vertical="center"/>
    </xf>
    <xf numFmtId="0" fontId="0" fillId="0" borderId="5" xfId="0" applyFont="1" applyBorder="1" applyAlignment="1">
      <alignment horizontal="left"/>
    </xf>
    <xf numFmtId="0" fontId="0" fillId="0" borderId="4" xfId="0" applyFont="1" applyBorder="1" applyAlignment="1">
      <alignment horizontal="left"/>
    </xf>
    <xf numFmtId="0" fontId="6" fillId="3" borderId="1" xfId="0" applyFont="1" applyFill="1" applyBorder="1" applyAlignment="1">
      <alignment horizontal="center"/>
    </xf>
    <xf numFmtId="0" fontId="6" fillId="3" borderId="1" xfId="0" applyFont="1"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0" fontId="6" fillId="3" borderId="25" xfId="0" applyFont="1" applyFill="1" applyBorder="1" applyAlignment="1">
      <alignment horizontal="left" wrapText="1"/>
    </xf>
    <xf numFmtId="0" fontId="0" fillId="0" borderId="26" xfId="0" applyBorder="1" applyAlignment="1">
      <alignment wrapText="1"/>
    </xf>
    <xf numFmtId="0" fontId="6" fillId="0" borderId="24" xfId="0" applyFont="1" applyBorder="1" applyAlignment="1">
      <alignment horizontal="center"/>
    </xf>
    <xf numFmtId="0" fontId="0" fillId="0" borderId="5" xfId="0" applyBorder="1" applyAlignment="1">
      <alignment horizontal="center"/>
    </xf>
    <xf numFmtId="0" fontId="0" fillId="0" borderId="27" xfId="0" applyBorder="1" applyAlignment="1">
      <alignment horizontal="center"/>
    </xf>
    <xf numFmtId="0" fontId="0" fillId="3" borderId="2" xfId="0" applyFill="1" applyBorder="1" applyAlignment="1">
      <alignment wrapText="1"/>
    </xf>
    <xf numFmtId="0" fontId="6" fillId="2" borderId="0" xfId="0" applyFont="1" applyFill="1" applyAlignment="1">
      <alignment vertical="top" wrapText="1"/>
    </xf>
    <xf numFmtId="0" fontId="6" fillId="2" borderId="0" xfId="0" applyFont="1" applyFill="1" applyAlignment="1">
      <alignment wrapText="1"/>
    </xf>
    <xf numFmtId="0" fontId="0" fillId="3" borderId="0" xfId="0" applyFill="1" applyAlignment="1">
      <alignment wrapText="1"/>
    </xf>
    <xf numFmtId="0" fontId="0" fillId="0" borderId="0" xfId="0" applyAlignment="1">
      <alignment wrapText="1"/>
    </xf>
    <xf numFmtId="0" fontId="0" fillId="4" borderId="24" xfId="0" applyFill="1" applyBorder="1" applyAlignment="1">
      <alignment horizontal="left"/>
    </xf>
    <xf numFmtId="0" fontId="0" fillId="0" borderId="5" xfId="0" applyBorder="1" applyAlignment="1">
      <alignment horizontal="left"/>
    </xf>
    <xf numFmtId="0" fontId="0" fillId="0" borderId="27" xfId="0" applyBorder="1" applyAlignment="1">
      <alignment horizontal="left"/>
    </xf>
    <xf numFmtId="0" fontId="0" fillId="3" borderId="2" xfId="0" applyFont="1" applyFill="1" applyBorder="1" applyAlignment="1">
      <alignment horizontal="left" vertical="center"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15" fillId="3" borderId="7" xfId="0" applyFont="1" applyFill="1" applyBorder="1" applyAlignment="1">
      <alignment vertical="top" wrapText="1"/>
    </xf>
    <xf numFmtId="0" fontId="15" fillId="3" borderId="9" xfId="0" applyFont="1" applyFill="1" applyBorder="1" applyAlignment="1">
      <alignment vertical="top" wrapText="1"/>
    </xf>
    <xf numFmtId="0" fontId="15" fillId="3" borderId="10" xfId="0" applyFont="1" applyFill="1" applyBorder="1" applyAlignment="1">
      <alignment vertical="top" wrapText="1"/>
    </xf>
    <xf numFmtId="0" fontId="15" fillId="3" borderId="3" xfId="0" applyFont="1" applyFill="1" applyBorder="1" applyAlignment="1">
      <alignment vertical="top" wrapText="1"/>
    </xf>
    <xf numFmtId="0" fontId="15" fillId="3" borderId="0" xfId="0" applyFont="1" applyFill="1" applyAlignment="1">
      <alignment vertical="top" wrapText="1"/>
    </xf>
    <xf numFmtId="0" fontId="15" fillId="3" borderId="11" xfId="0" applyFont="1" applyFill="1" applyBorder="1" applyAlignment="1">
      <alignment vertical="top" wrapText="1"/>
    </xf>
    <xf numFmtId="0" fontId="15" fillId="3" borderId="8" xfId="0" applyFont="1" applyFill="1" applyBorder="1" applyAlignment="1">
      <alignment vertical="top" wrapText="1"/>
    </xf>
    <xf numFmtId="0" fontId="15" fillId="3" borderId="12" xfId="0" applyFont="1" applyFill="1" applyBorder="1" applyAlignment="1">
      <alignment vertical="top" wrapText="1"/>
    </xf>
    <xf numFmtId="0" fontId="15" fillId="3" borderId="13" xfId="0" applyFont="1" applyFill="1" applyBorder="1" applyAlignment="1">
      <alignment vertical="top"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5"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0" fontId="14" fillId="3" borderId="2" xfId="1" applyFill="1" applyBorder="1" applyAlignment="1">
      <alignment horizontal="left" vertical="top" wrapText="1"/>
    </xf>
    <xf numFmtId="0" fontId="0" fillId="0" borderId="5" xfId="0" applyBorder="1" applyAlignment="1">
      <alignment wrapText="1"/>
    </xf>
    <xf numFmtId="0" fontId="0" fillId="3"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3" borderId="1" xfId="0" applyFill="1" applyBorder="1" applyAlignment="1"/>
    <xf numFmtId="0" fontId="0" fillId="0" borderId="1" xfId="0" applyBorder="1" applyAlignment="1"/>
    <xf numFmtId="0" fontId="0" fillId="3" borderId="1" xfId="0" applyFill="1" applyBorder="1" applyAlignment="1">
      <alignment horizontal="center" wrapText="1"/>
    </xf>
    <xf numFmtId="0" fontId="0" fillId="0" borderId="1" xfId="0" applyBorder="1" applyAlignment="1">
      <alignment horizontal="center" wrapText="1"/>
    </xf>
    <xf numFmtId="0" fontId="0" fillId="3" borderId="0" xfId="0" applyFill="1" applyAlignment="1">
      <alignment horizontal="left" vertical="top" wrapText="1"/>
    </xf>
    <xf numFmtId="0" fontId="0" fillId="0" borderId="0" xfId="0" applyAlignment="1">
      <alignment horizontal="left" vertical="top" wrapText="1"/>
    </xf>
    <xf numFmtId="0" fontId="11"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1" fillId="3" borderId="18" xfId="0" applyFont="1" applyFill="1" applyBorder="1" applyAlignment="1">
      <alignment vertical="top" wrapText="1"/>
    </xf>
    <xf numFmtId="0" fontId="0" fillId="0" borderId="19" xfId="0" applyBorder="1" applyAlignment="1">
      <alignment vertical="top" wrapText="1"/>
    </xf>
    <xf numFmtId="0" fontId="11"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23" fillId="0" borderId="0" xfId="0" applyFont="1" applyAlignment="1">
      <alignment horizontal="left" vertical="center" wrapText="1"/>
    </xf>
    <xf numFmtId="0" fontId="0" fillId="0" borderId="0" xfId="0" applyAlignment="1"/>
  </cellXfs>
  <cellStyles count="6">
    <cellStyle name="Hyperlänk" xfId="1" builtinId="8"/>
    <cellStyle name="Normal" xfId="0" builtinId="0" customBuiltin="1"/>
    <cellStyle name="Normal 2" xfId="2" xr:uid="{AC06D4C0-8FEC-46F0-B9D2-A2F94BA5D473}"/>
    <cellStyle name="Normal 2 2" xfId="3" xr:uid="{2B44FC47-D9EC-4B89-8CB2-7955821699B3}"/>
    <cellStyle name="Normal 2 2 2" xfId="5" xr:uid="{B36823A4-274A-4053-AA62-58D2DBB57262}"/>
    <cellStyle name="Normal 2 3" xfId="4" xr:uid="{F39AF7EB-C1D0-49BB-9D1F-5AA963024D5E}"/>
  </cellStyles>
  <dxfs count="30">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kamkoklient25@foxway.com" TargetMode="External"/><Relationship Id="rId7" Type="http://schemas.openxmlformats.org/officeDocument/2006/relationships/printerSettings" Target="../printerSettings/printerSettings2.bin"/><Relationship Id="rId2" Type="http://schemas.openxmlformats.org/officeDocument/2006/relationships/hyperlink" Target="mailto:wpavrop@advania.com" TargetMode="External"/><Relationship Id="rId1" Type="http://schemas.openxmlformats.org/officeDocument/2006/relationships/hyperlink" Target="mailto:barbaradatorer@atea.se" TargetMode="External"/><Relationship Id="rId6" Type="http://schemas.openxmlformats.org/officeDocument/2006/relationships/hyperlink" Target="mailto:avrop@itm8.com" TargetMode="External"/><Relationship Id="rId5" Type="http://schemas.openxmlformats.org/officeDocument/2006/relationships/hyperlink" Target="mailto:public@dustin.se" TargetMode="External"/><Relationship Id="rId4" Type="http://schemas.openxmlformats.org/officeDocument/2006/relationships/hyperlink" Target="mailto:upphandling.workplace@iver.se"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O92"/>
  <sheetViews>
    <sheetView tabSelected="1" zoomScale="90" zoomScaleNormal="90" workbookViewId="0">
      <selection activeCell="D8" sqref="D8:F8"/>
    </sheetView>
  </sheetViews>
  <sheetFormatPr defaultColWidth="9" defaultRowHeight="13.5" x14ac:dyDescent="0.35"/>
  <cols>
    <col min="1" max="1" width="1.5" style="2" customWidth="1"/>
    <col min="2" max="2" width="16.83203125" style="2" customWidth="1"/>
    <col min="3" max="3" width="4.83203125" style="2" customWidth="1"/>
    <col min="4" max="4" width="11.33203125" style="2" customWidth="1"/>
    <col min="5" max="5" width="17.33203125" style="2" customWidth="1"/>
    <col min="6" max="6" width="10.75" style="2" customWidth="1"/>
    <col min="7" max="7" width="14.33203125" style="2" customWidth="1"/>
    <col min="8" max="8" width="11.33203125" style="2" customWidth="1"/>
    <col min="9" max="9" width="9.75" style="2" customWidth="1"/>
    <col min="10" max="10" width="10.58203125" style="2" customWidth="1"/>
    <col min="11" max="11" width="23.08203125" style="2" customWidth="1"/>
    <col min="12" max="12" width="23.25" style="2" customWidth="1"/>
    <col min="13" max="15" width="18.58203125" style="2" customWidth="1"/>
    <col min="16" max="16384" width="9" style="2"/>
  </cols>
  <sheetData>
    <row r="1" spans="2:13" x14ac:dyDescent="0.35">
      <c r="I1" s="15"/>
      <c r="J1" s="16"/>
      <c r="K1" s="2" t="s">
        <v>156</v>
      </c>
    </row>
    <row r="2" spans="2:13" ht="24.75" customHeight="1" x14ac:dyDescent="0.9">
      <c r="B2" s="27" t="s">
        <v>95</v>
      </c>
      <c r="C2" s="17"/>
      <c r="H2" s="29" t="s">
        <v>13</v>
      </c>
      <c r="I2" s="30"/>
      <c r="J2" s="132"/>
      <c r="K2" s="132"/>
      <c r="L2" s="132"/>
    </row>
    <row r="3" spans="2:13" ht="24.75" customHeight="1" x14ac:dyDescent="0.45">
      <c r="B3" s="11" t="s">
        <v>96</v>
      </c>
      <c r="C3" s="18"/>
      <c r="H3" s="31" t="s">
        <v>34</v>
      </c>
      <c r="I3" s="32"/>
      <c r="J3" s="133"/>
      <c r="K3" s="132"/>
      <c r="L3" s="132"/>
    </row>
    <row r="4" spans="2:13" ht="24.75" customHeight="1" x14ac:dyDescent="0.45">
      <c r="B4" s="11" t="s">
        <v>97</v>
      </c>
      <c r="C4" s="18"/>
      <c r="H4" s="31" t="s">
        <v>27</v>
      </c>
      <c r="I4" s="31"/>
      <c r="J4" s="132"/>
      <c r="K4" s="132"/>
      <c r="L4" s="132"/>
    </row>
    <row r="5" spans="2:13" ht="23" x14ac:dyDescent="0.5">
      <c r="B5" s="35" t="s">
        <v>68</v>
      </c>
      <c r="C5" s="18"/>
    </row>
    <row r="6" spans="2:13" ht="14.25" customHeight="1" x14ac:dyDescent="0.45">
      <c r="B6" s="18"/>
      <c r="C6" s="18"/>
    </row>
    <row r="7" spans="2:13" ht="15" x14ac:dyDescent="0.4">
      <c r="B7" s="19" t="s">
        <v>14</v>
      </c>
      <c r="C7" s="19"/>
      <c r="H7" s="19" t="s">
        <v>15</v>
      </c>
      <c r="M7" s="19"/>
    </row>
    <row r="8" spans="2:13" ht="13.5" customHeight="1" x14ac:dyDescent="0.35">
      <c r="B8" s="2" t="s">
        <v>40</v>
      </c>
      <c r="D8" s="93"/>
      <c r="E8" s="94"/>
      <c r="F8" s="95"/>
      <c r="H8" s="2" t="s">
        <v>16</v>
      </c>
      <c r="I8" s="134" t="str">
        <f>Prismatris!C80</f>
        <v>Vinnande anbud</v>
      </c>
      <c r="J8" s="135"/>
      <c r="K8" s="135"/>
      <c r="L8" s="136"/>
    </row>
    <row r="9" spans="2:13" ht="13.5" customHeight="1" x14ac:dyDescent="0.35">
      <c r="B9" s="2" t="s">
        <v>17</v>
      </c>
      <c r="D9" s="93"/>
      <c r="E9" s="94"/>
      <c r="F9" s="95"/>
      <c r="H9" s="2" t="s">
        <v>31</v>
      </c>
      <c r="I9" s="88" t="str">
        <f>Prismatris!C81</f>
        <v/>
      </c>
      <c r="J9" s="89"/>
      <c r="K9" s="89"/>
      <c r="L9" s="90"/>
    </row>
    <row r="10" spans="2:13" ht="13.5" customHeight="1" x14ac:dyDescent="0.35">
      <c r="B10" s="2" t="s">
        <v>18</v>
      </c>
      <c r="D10" s="93"/>
      <c r="E10" s="94"/>
      <c r="F10" s="95"/>
      <c r="H10" s="2" t="s">
        <v>18</v>
      </c>
      <c r="I10" s="88" t="str">
        <f>Prismatris!C82</f>
        <v/>
      </c>
      <c r="J10" s="89"/>
      <c r="K10" s="89"/>
      <c r="L10" s="90"/>
    </row>
    <row r="11" spans="2:13" ht="13.5" customHeight="1" x14ac:dyDescent="0.35">
      <c r="B11" s="2" t="s">
        <v>19</v>
      </c>
      <c r="D11" s="93"/>
      <c r="E11" s="94"/>
      <c r="F11" s="95"/>
      <c r="H11" s="2" t="s">
        <v>32</v>
      </c>
      <c r="I11" s="88" t="str">
        <f>Prismatris!C83</f>
        <v/>
      </c>
      <c r="J11" s="89"/>
      <c r="K11" s="89"/>
      <c r="L11" s="90"/>
    </row>
    <row r="12" spans="2:13" ht="13.5" customHeight="1" x14ac:dyDescent="0.35">
      <c r="B12" s="2" t="s">
        <v>20</v>
      </c>
      <c r="D12" s="93"/>
      <c r="E12" s="94"/>
      <c r="F12" s="95"/>
      <c r="H12" s="2" t="s">
        <v>33</v>
      </c>
      <c r="I12" s="137" t="str">
        <f>HYPERLINK("mailto:"&amp;Prismatris!C84)</f>
        <v>mailto:</v>
      </c>
      <c r="J12" s="138"/>
      <c r="K12" s="138"/>
      <c r="L12" s="90"/>
    </row>
    <row r="13" spans="2:13" x14ac:dyDescent="0.35">
      <c r="B13" s="20" t="s">
        <v>21</v>
      </c>
      <c r="C13" s="20"/>
      <c r="D13" s="93"/>
      <c r="E13" s="94"/>
      <c r="F13" s="95"/>
      <c r="H13" s="2" t="s">
        <v>22</v>
      </c>
    </row>
    <row r="14" spans="2:13" ht="15" customHeight="1" x14ac:dyDescent="0.35">
      <c r="B14" s="2" t="s">
        <v>30</v>
      </c>
      <c r="D14" s="93"/>
      <c r="E14" s="94"/>
      <c r="F14" s="95"/>
      <c r="H14" s="121"/>
      <c r="I14" s="121"/>
      <c r="J14" s="121"/>
      <c r="K14" s="121"/>
      <c r="L14" s="121"/>
    </row>
    <row r="15" spans="2:13" x14ac:dyDescent="0.35">
      <c r="B15" s="2" t="s">
        <v>23</v>
      </c>
      <c r="D15" s="93"/>
      <c r="E15" s="94"/>
      <c r="F15" s="95"/>
      <c r="H15" s="121"/>
      <c r="I15" s="121"/>
      <c r="J15" s="121"/>
      <c r="K15" s="121"/>
      <c r="L15" s="121"/>
    </row>
    <row r="16" spans="2:13" x14ac:dyDescent="0.35">
      <c r="B16" s="31" t="s">
        <v>26</v>
      </c>
      <c r="C16" s="32"/>
      <c r="D16" s="93"/>
      <c r="E16" s="94"/>
      <c r="F16" s="95"/>
      <c r="H16" s="121"/>
      <c r="I16" s="121"/>
      <c r="J16" s="121"/>
      <c r="K16" s="121"/>
      <c r="L16" s="121"/>
    </row>
    <row r="17" spans="2:15" x14ac:dyDescent="0.35">
      <c r="B17" s="2" t="s">
        <v>24</v>
      </c>
      <c r="D17" s="123"/>
      <c r="E17" s="124"/>
      <c r="F17" s="125"/>
      <c r="H17" s="121"/>
      <c r="I17" s="121"/>
      <c r="J17" s="121"/>
      <c r="K17" s="121"/>
      <c r="L17" s="121"/>
    </row>
    <row r="18" spans="2:15" x14ac:dyDescent="0.35">
      <c r="D18" s="126"/>
      <c r="E18" s="127"/>
      <c r="F18" s="128"/>
      <c r="H18" s="121"/>
      <c r="I18" s="121"/>
      <c r="J18" s="121"/>
      <c r="K18" s="121"/>
      <c r="L18" s="121"/>
    </row>
    <row r="19" spans="2:15" x14ac:dyDescent="0.35">
      <c r="D19" s="129"/>
      <c r="E19" s="130"/>
      <c r="F19" s="131"/>
      <c r="H19" s="121"/>
      <c r="I19" s="121"/>
      <c r="J19" s="121"/>
      <c r="K19" s="121"/>
      <c r="L19" s="121"/>
    </row>
    <row r="20" spans="2:15" x14ac:dyDescent="0.35">
      <c r="B20" s="119" t="s">
        <v>59</v>
      </c>
      <c r="C20" s="120"/>
      <c r="D20" s="93"/>
      <c r="E20" s="94"/>
      <c r="F20" s="95"/>
      <c r="H20" s="122"/>
      <c r="I20" s="122"/>
      <c r="J20" s="122"/>
      <c r="K20" s="122"/>
      <c r="L20" s="122"/>
    </row>
    <row r="21" spans="2:15" x14ac:dyDescent="0.35">
      <c r="B21" s="119" t="s">
        <v>60</v>
      </c>
      <c r="C21" s="120"/>
      <c r="D21" s="93"/>
      <c r="E21" s="94"/>
      <c r="F21" s="95"/>
      <c r="H21" s="122"/>
      <c r="I21" s="122"/>
      <c r="J21" s="122"/>
      <c r="K21" s="122"/>
      <c r="L21" s="122"/>
    </row>
    <row r="22" spans="2:15" x14ac:dyDescent="0.35">
      <c r="D22" s="45"/>
      <c r="E22" s="45"/>
      <c r="F22" s="45"/>
      <c r="H22" s="46"/>
      <c r="I22" s="46"/>
      <c r="J22" s="46"/>
      <c r="K22" s="46"/>
      <c r="L22" s="46"/>
    </row>
    <row r="23" spans="2:15" x14ac:dyDescent="0.35">
      <c r="B23" s="2" t="s">
        <v>80</v>
      </c>
    </row>
    <row r="24" spans="2:15" ht="50.15" customHeight="1" x14ac:dyDescent="0.35">
      <c r="B24" s="64"/>
      <c r="J24" s="111" t="s">
        <v>79</v>
      </c>
      <c r="K24" s="112"/>
      <c r="L24" s="112"/>
      <c r="M24" s="111" t="s">
        <v>125</v>
      </c>
      <c r="N24" s="114"/>
      <c r="O24" s="114"/>
    </row>
    <row r="25" spans="2:15" x14ac:dyDescent="0.35">
      <c r="J25" s="2" t="s">
        <v>99</v>
      </c>
      <c r="M25" s="2" t="s">
        <v>113</v>
      </c>
    </row>
    <row r="26" spans="2:15" x14ac:dyDescent="0.35">
      <c r="J26" s="139" t="s">
        <v>77</v>
      </c>
      <c r="K26" s="140"/>
      <c r="L26" s="140"/>
      <c r="M26" s="113" t="s">
        <v>122</v>
      </c>
      <c r="N26" s="114"/>
      <c r="O26" s="114"/>
    </row>
    <row r="27" spans="2:15" x14ac:dyDescent="0.35">
      <c r="J27" s="140"/>
      <c r="K27" s="140"/>
      <c r="L27" s="140"/>
      <c r="M27" s="114"/>
      <c r="N27" s="114"/>
      <c r="O27" s="114"/>
    </row>
    <row r="28" spans="2:15" x14ac:dyDescent="0.35">
      <c r="B28" s="60"/>
      <c r="C28" s="60"/>
      <c r="D28" s="60"/>
      <c r="E28" s="60"/>
      <c r="F28" s="60"/>
    </row>
    <row r="29" spans="2:15" ht="16.5" thickBot="1" x14ac:dyDescent="0.45">
      <c r="B29" s="65" t="s">
        <v>111</v>
      </c>
    </row>
    <row r="30" spans="2:15" x14ac:dyDescent="0.35">
      <c r="B30" s="96" t="s">
        <v>98</v>
      </c>
      <c r="C30" s="97"/>
      <c r="D30" s="97"/>
      <c r="E30" s="97"/>
      <c r="F30" s="22"/>
      <c r="G30" s="22"/>
      <c r="H30" s="23"/>
      <c r="J30" s="2" t="s">
        <v>100</v>
      </c>
      <c r="M30" s="2" t="s">
        <v>114</v>
      </c>
    </row>
    <row r="31" spans="2:15" ht="42" customHeight="1" x14ac:dyDescent="0.35">
      <c r="B31" s="33" t="s">
        <v>12</v>
      </c>
      <c r="C31" s="37"/>
      <c r="D31" s="102" t="s">
        <v>38</v>
      </c>
      <c r="E31" s="102"/>
      <c r="F31" s="103"/>
      <c r="G31" s="103"/>
      <c r="H31" s="34" t="s">
        <v>10</v>
      </c>
      <c r="J31" s="113" t="s">
        <v>101</v>
      </c>
      <c r="K31" s="114"/>
      <c r="L31" s="114"/>
      <c r="M31" s="146" t="s">
        <v>123</v>
      </c>
      <c r="N31" s="147"/>
      <c r="O31" s="147"/>
    </row>
    <row r="32" spans="2:15" x14ac:dyDescent="0.35">
      <c r="B32" s="40"/>
      <c r="C32" s="47"/>
      <c r="D32" s="104" t="str">
        <f>IF(B32&gt;0,IF(Prismatris!$C$78=$J$82,Prismatris!C11,IF(Prismatris!$D$78=$J$82,Prismatris!D11,IF(Prismatris!$E$78=$J$82,Prismatris!E11,IF(Prismatris!$F$78=$J$82,Prismatris!F11,IF(Prismatris!$G$78=$J$82,Prismatris!G11,IF(Prismatris!$H$78=$J$82,Prismatris!H11,)))))),"")</f>
        <v/>
      </c>
      <c r="E32" s="104"/>
      <c r="F32" s="104"/>
      <c r="G32" s="103"/>
      <c r="H32" s="56" t="str">
        <f>IF(B32&gt;0,IF(Prismatris!$C$78=$J$82,Prismatris!C13,IF(Prismatris!$D$78=$J$82,Prismatris!D13,IF(Prismatris!$E$78=$J$82,Prismatris!E13,IF(Prismatris!$F$78=$J$82,Prismatris!F13,IF(Prismatris!$G$78=$J$82,Prismatris!G13,IF(Prismatris!$H$78=$J$82,Prismatris!H13,)))))),"")</f>
        <v/>
      </c>
      <c r="J32" s="114"/>
      <c r="K32" s="114"/>
      <c r="L32" s="114"/>
      <c r="M32" s="147"/>
      <c r="N32" s="147"/>
      <c r="O32" s="147"/>
    </row>
    <row r="33" spans="2:15" ht="15.75" customHeight="1" thickBot="1" x14ac:dyDescent="0.4"/>
    <row r="34" spans="2:15" x14ac:dyDescent="0.35">
      <c r="B34" s="96" t="s">
        <v>107</v>
      </c>
      <c r="C34" s="97"/>
      <c r="D34" s="97"/>
      <c r="E34" s="97"/>
      <c r="F34" s="22"/>
      <c r="G34" s="22"/>
      <c r="H34" s="23"/>
      <c r="J34" s="2" t="s">
        <v>102</v>
      </c>
      <c r="M34" s="2" t="s">
        <v>115</v>
      </c>
    </row>
    <row r="35" spans="2:15" ht="42" customHeight="1" x14ac:dyDescent="0.35">
      <c r="B35" s="33" t="s">
        <v>12</v>
      </c>
      <c r="C35" s="37"/>
      <c r="D35" s="102" t="s">
        <v>38</v>
      </c>
      <c r="E35" s="102"/>
      <c r="F35" s="103"/>
      <c r="G35" s="103"/>
      <c r="H35" s="34" t="s">
        <v>10</v>
      </c>
      <c r="J35" s="113" t="s">
        <v>103</v>
      </c>
      <c r="K35" s="114"/>
      <c r="L35" s="114"/>
      <c r="M35" s="139" t="s">
        <v>124</v>
      </c>
      <c r="N35" s="140"/>
      <c r="O35" s="140"/>
    </row>
    <row r="36" spans="2:15" x14ac:dyDescent="0.35">
      <c r="B36" s="40"/>
      <c r="C36" s="47"/>
      <c r="D36" s="104" t="str">
        <f>IF(B36&gt;0,IF(Prismatris!$C$78=$J$82,Prismatris!C15,IF(Prismatris!$D$78=$J$82,Prismatris!D15,IF(Prismatris!$E$78=$J$82,Prismatris!E15,IF(Prismatris!$F$78=$J$82,Prismatris!F15,IF(Prismatris!$H$78=$J$82,Prismatris!H15,IF(Prismatris!$G$78=$J$82,Prismatris!H15,)))))),"")</f>
        <v/>
      </c>
      <c r="E36" s="104"/>
      <c r="F36" s="104"/>
      <c r="G36" s="103"/>
      <c r="H36" s="56" t="str">
        <f>IF(B36&gt;0,IF(Prismatris!$C$78=$J$82,Prismatris!C17,IF(Prismatris!$D$78=$J$82,Prismatris!D17,IF(Prismatris!$E$78=$J$82,Prismatris!E17,IF(Prismatris!$F$78=$J$82,Prismatris!F17,IF(Prismatris!$G$78=$J$82,Prismatris!G17,IF(Prismatris!$H$78=$J$82,Prismatris!H17,)))))),"")</f>
        <v/>
      </c>
      <c r="J36" s="114"/>
      <c r="K36" s="114"/>
      <c r="L36" s="114"/>
      <c r="M36" s="140"/>
      <c r="N36" s="140"/>
      <c r="O36" s="140"/>
    </row>
    <row r="37" spans="2:15" ht="14" thickBot="1" x14ac:dyDescent="0.4"/>
    <row r="38" spans="2:15" x14ac:dyDescent="0.35">
      <c r="B38" s="96" t="s">
        <v>108</v>
      </c>
      <c r="C38" s="97"/>
      <c r="D38" s="97"/>
      <c r="E38" s="97"/>
      <c r="F38" s="22"/>
      <c r="G38" s="22"/>
      <c r="H38" s="23"/>
      <c r="J38" s="2" t="s">
        <v>104</v>
      </c>
    </row>
    <row r="39" spans="2:15" ht="52.5" customHeight="1" x14ac:dyDescent="0.35">
      <c r="B39" s="33" t="s">
        <v>12</v>
      </c>
      <c r="C39" s="37"/>
      <c r="D39" s="102" t="s">
        <v>38</v>
      </c>
      <c r="E39" s="102"/>
      <c r="F39" s="103"/>
      <c r="G39" s="103"/>
      <c r="H39" s="34" t="s">
        <v>10</v>
      </c>
      <c r="J39" s="139" t="s">
        <v>78</v>
      </c>
      <c r="K39" s="140"/>
      <c r="L39" s="140"/>
    </row>
    <row r="40" spans="2:15" x14ac:dyDescent="0.35">
      <c r="B40" s="40"/>
      <c r="C40" s="47"/>
      <c r="D40" s="104" t="str">
        <f>IF(B40&gt;0,IF(Prismatris!$C$78=$J$82,Prismatris!C19,IF(Prismatris!$D$78=$J$82,Prismatris!D19,IF(Prismatris!$E$78=$J$82,Prismatris!E19,IF(Prismatris!$F$78=$J$82,Prismatris!F19,IF(Prismatris!$G$78=$J$82,Prismatris!G19,IF(Prismatris!$H$78=$J$82,Prismatris!H19,)))))),"")</f>
        <v/>
      </c>
      <c r="E40" s="104"/>
      <c r="F40" s="104"/>
      <c r="G40" s="103"/>
      <c r="H40" s="56" t="str">
        <f>IF(B40&gt;0,IF(Prismatris!$C$78=$J$82,Prismatris!C21,IF(Prismatris!$D$78=$J$82,Prismatris!D21,IF(Prismatris!$E$78=$J$82,Prismatris!E21,IF(Prismatris!$F$78=$J$82,Prismatris!F21,IF(Prismatris!$G$78=$J$82,Prismatris!G21,IF(Prismatris!$H$78=$J$82,Prismatris!H21)))))),"")</f>
        <v/>
      </c>
      <c r="J40" s="140"/>
      <c r="K40" s="140"/>
      <c r="L40" s="140"/>
    </row>
    <row r="41" spans="2:15" ht="14" thickBot="1" x14ac:dyDescent="0.4"/>
    <row r="42" spans="2:15" x14ac:dyDescent="0.35">
      <c r="B42" s="96" t="s">
        <v>109</v>
      </c>
      <c r="C42" s="97"/>
      <c r="D42" s="97"/>
      <c r="E42" s="97"/>
      <c r="F42" s="22"/>
      <c r="G42" s="22"/>
      <c r="H42" s="23"/>
      <c r="J42" s="60" t="s">
        <v>105</v>
      </c>
    </row>
    <row r="43" spans="2:15" ht="54.75" customHeight="1" x14ac:dyDescent="0.35">
      <c r="B43" s="33" t="s">
        <v>12</v>
      </c>
      <c r="C43" s="37"/>
      <c r="D43" s="102" t="s">
        <v>38</v>
      </c>
      <c r="E43" s="102"/>
      <c r="F43" s="103"/>
      <c r="G43" s="103"/>
      <c r="H43" s="34" t="s">
        <v>10</v>
      </c>
      <c r="J43" s="139" t="s">
        <v>106</v>
      </c>
      <c r="K43" s="141"/>
      <c r="L43" s="141"/>
    </row>
    <row r="44" spans="2:15" x14ac:dyDescent="0.35">
      <c r="B44" s="40"/>
      <c r="C44" s="47"/>
      <c r="D44" s="104" t="str">
        <f>IF(B44&gt;0,IF(Prismatris!$C$78=$J$82,Prismatris!C23,IF(Prismatris!$D$78=$J$82,Prismatris!D23,IF(Prismatris!$E$78=$J$82,Prismatris!E23,IF(Prismatris!$F$78=$J$82,Prismatris!F23,IF(Prismatris!$G$78=$J$82,Prismatris!G23,IF(Prismatris!$H$78=$J$82,Prismatris!H23)))))),"")</f>
        <v/>
      </c>
      <c r="E44" s="104"/>
      <c r="F44" s="104"/>
      <c r="G44" s="103"/>
      <c r="H44" s="56" t="str">
        <f>IF(B44&gt;0,IF(Prismatris!$C$78=$J$82,Prismatris!C25,IF(Prismatris!$D$78=$J$82,Prismatris!D25,IF(Prismatris!$E$78=$J$82,Prismatris!E25,IF(Prismatris!$F$78=$J$82,Prismatris!F25,IF(Prismatris!$G$78=$J$82,Prismatris!G25,IF(Prismatris!$H$78=$J$82,Prismatris!H25)))))),"")</f>
        <v/>
      </c>
      <c r="J44" s="141"/>
      <c r="K44" s="141"/>
      <c r="L44" s="141"/>
    </row>
    <row r="45" spans="2:15" ht="14" thickBot="1" x14ac:dyDescent="0.4">
      <c r="B45" s="79">
        <f>SUM(B32,B36,B40,B44)</f>
        <v>0</v>
      </c>
      <c r="J45" s="141"/>
      <c r="K45" s="141"/>
      <c r="L45" s="141"/>
    </row>
    <row r="46" spans="2:15" x14ac:dyDescent="0.35">
      <c r="B46" s="96" t="s">
        <v>110</v>
      </c>
      <c r="C46" s="97"/>
      <c r="D46" s="97"/>
      <c r="E46" s="97"/>
      <c r="F46" s="22"/>
      <c r="G46" s="22"/>
      <c r="H46" s="23"/>
      <c r="J46" s="141"/>
      <c r="K46" s="141"/>
      <c r="L46" s="141"/>
    </row>
    <row r="47" spans="2:15" ht="42" customHeight="1" x14ac:dyDescent="0.35">
      <c r="B47" s="33" t="s">
        <v>12</v>
      </c>
      <c r="C47" s="37"/>
      <c r="D47" s="102" t="s">
        <v>38</v>
      </c>
      <c r="E47" s="102"/>
      <c r="F47" s="103"/>
      <c r="G47" s="103"/>
      <c r="H47" s="34" t="s">
        <v>10</v>
      </c>
      <c r="J47" s="141"/>
      <c r="K47" s="141"/>
      <c r="L47" s="141"/>
    </row>
    <row r="48" spans="2:15" x14ac:dyDescent="0.35">
      <c r="B48" s="40"/>
      <c r="C48" s="47"/>
      <c r="D48" s="104" t="str">
        <f>IF(B48&gt;0,IF(Prismatris!$C$78=$J$82,Prismatris!C27,IF(Prismatris!$D$78=$J$82,Prismatris!D27,IF(Prismatris!$E$78=$J$82,Prismatris!E27,IF(Prismatris!$F$78=$J$82,Prismatris!F27,IF(Prismatris!$G$78=$J$82,Prismatris!G27,IF(Prismatris!$H$78=$J$82,Prismatris!H27)))))),"")</f>
        <v/>
      </c>
      <c r="E48" s="104"/>
      <c r="F48" s="104"/>
      <c r="G48" s="103"/>
      <c r="H48" s="56" t="str">
        <f>IF(B48&gt;0,IF(Prismatris!$C$78=$J$82,Prismatris!C29,IF(Prismatris!$D$78=$J$82,Prismatris!D29,IF(Prismatris!$E$78=$J$82,Prismatris!E29,IF(Prismatris!$F$78=$J$82,Prismatris!F29,IF(Prismatris!$G$78=$J$82,Prismatris!G29,IF(Prismatris!$H$78=$J$82,Prismatris!H29,)))))),"")</f>
        <v/>
      </c>
      <c r="J48" s="141"/>
      <c r="K48" s="141"/>
      <c r="L48" s="141"/>
    </row>
    <row r="49" spans="2:12" x14ac:dyDescent="0.35">
      <c r="B49" s="63"/>
      <c r="C49" s="47"/>
      <c r="D49" s="47"/>
      <c r="E49" s="47"/>
      <c r="F49" s="47"/>
      <c r="G49" s="47"/>
      <c r="H49" s="47"/>
      <c r="J49" s="141"/>
      <c r="K49" s="141"/>
      <c r="L49" s="141"/>
    </row>
    <row r="50" spans="2:12" x14ac:dyDescent="0.35">
      <c r="B50" s="63"/>
      <c r="C50" s="63"/>
      <c r="D50" s="63"/>
      <c r="E50" s="63"/>
      <c r="F50" s="63"/>
      <c r="J50" s="141"/>
      <c r="K50" s="141"/>
      <c r="L50" s="141"/>
    </row>
    <row r="51" spans="2:12" ht="14" thickBot="1" x14ac:dyDescent="0.4">
      <c r="B51" s="64" t="s">
        <v>28</v>
      </c>
      <c r="J51" s="141"/>
      <c r="K51" s="141"/>
      <c r="L51" s="141"/>
    </row>
    <row r="52" spans="2:12" x14ac:dyDescent="0.35">
      <c r="B52" s="96" t="s">
        <v>120</v>
      </c>
      <c r="C52" s="97"/>
      <c r="D52" s="97"/>
      <c r="E52" s="97"/>
      <c r="F52" s="22"/>
      <c r="G52" s="22"/>
      <c r="H52" s="23"/>
      <c r="I52" s="68"/>
      <c r="J52" s="53"/>
      <c r="K52" s="69"/>
    </row>
    <row r="53" spans="2:12" ht="13.5" customHeight="1" x14ac:dyDescent="0.4">
      <c r="B53" s="74" t="s">
        <v>94</v>
      </c>
      <c r="C53" s="142" t="s">
        <v>93</v>
      </c>
      <c r="D53" s="143"/>
      <c r="E53" s="143"/>
      <c r="F53" s="143"/>
      <c r="G53" s="67"/>
      <c r="H53" s="59" t="s">
        <v>10</v>
      </c>
      <c r="I53" s="107" t="s">
        <v>35</v>
      </c>
      <c r="J53" s="108"/>
      <c r="K53" s="109"/>
    </row>
    <row r="54" spans="2:12" ht="13.5" customHeight="1" x14ac:dyDescent="0.4">
      <c r="B54" s="75"/>
      <c r="C54" s="144"/>
      <c r="D54" s="145"/>
      <c r="E54" s="145"/>
      <c r="F54" s="145"/>
      <c r="G54" s="67"/>
      <c r="H54" s="66" t="str">
        <f>IF(B54&gt;0,IF(Prismatris!$C$78=$J$82,Prismatris!C32,IF(Prismatris!$D$78=$J$82,Prismatris!D32,IF(Prismatris!$E$78=$J$82,Prismatris!E32,IF(Prismatris!$F$78=$J$82,Prismatris!F32,IF(Prismatris!$G$78=$J$82,Prismatris!G32,IF(Prismatris!$H$78=$J$82,Prismatris!H32)))))),"")</f>
        <v/>
      </c>
      <c r="I54" s="115"/>
      <c r="J54" s="116"/>
      <c r="K54" s="117"/>
    </row>
    <row r="55" spans="2:12" ht="16.5" thickBot="1" x14ac:dyDescent="0.45">
      <c r="B55" s="67"/>
      <c r="C55" s="67"/>
      <c r="D55" s="67"/>
      <c r="E55" s="67"/>
      <c r="F55" s="67"/>
      <c r="G55" s="67"/>
      <c r="H55" s="67"/>
      <c r="I55" s="61"/>
      <c r="J55" s="62"/>
      <c r="K55" s="62"/>
      <c r="L55" s="62"/>
    </row>
    <row r="56" spans="2:12" x14ac:dyDescent="0.35">
      <c r="B56" s="105" t="s">
        <v>112</v>
      </c>
      <c r="C56" s="106"/>
      <c r="D56" s="106"/>
      <c r="E56" s="106"/>
      <c r="F56" s="106"/>
      <c r="G56" s="53"/>
      <c r="H56" s="36"/>
      <c r="I56" s="68"/>
      <c r="J56" s="53"/>
      <c r="K56" s="69"/>
    </row>
    <row r="57" spans="2:12" x14ac:dyDescent="0.35">
      <c r="B57" s="38" t="s">
        <v>12</v>
      </c>
      <c r="C57" s="101" t="s">
        <v>29</v>
      </c>
      <c r="D57" s="101"/>
      <c r="E57" s="101"/>
      <c r="F57" s="101"/>
      <c r="H57" s="39" t="s">
        <v>10</v>
      </c>
      <c r="I57" s="107" t="s">
        <v>35</v>
      </c>
      <c r="J57" s="108"/>
      <c r="K57" s="109"/>
    </row>
    <row r="58" spans="2:12" x14ac:dyDescent="0.35">
      <c r="B58" s="40"/>
      <c r="C58" s="98" t="s">
        <v>69</v>
      </c>
      <c r="D58" s="99"/>
      <c r="E58" s="99"/>
      <c r="F58" s="100"/>
      <c r="H58" s="56" t="str">
        <f>IF(B58&gt;0,IF(Prismatris!$C$78=$J$82,Prismatris!C38,IF(Prismatris!$D$78=$J$82,Prismatris!D38,IF(Prismatris!$E$78=$J$82,Prismatris!E38,IF(Prismatris!$F$78=$J$82,Prismatris!F38,IF(Prismatris!$G$78=$J$82,Prismatris!G38,IF(Prismatris!$H$78=$J$82,Prismatris!H38)))))),"")</f>
        <v/>
      </c>
      <c r="I58" s="115"/>
      <c r="J58" s="116"/>
      <c r="K58" s="117"/>
    </row>
    <row r="59" spans="2:12" x14ac:dyDescent="0.35">
      <c r="B59" s="40"/>
      <c r="C59" s="98" t="s">
        <v>70</v>
      </c>
      <c r="D59" s="99"/>
      <c r="E59" s="99"/>
      <c r="F59" s="100"/>
      <c r="H59" s="56" t="str">
        <f>IF(B59&gt;0,IF(Prismatris!$C$78=$J$82,Prismatris!C41,IF(Prismatris!$D$78=$J$82,Prismatris!D41,IF(Prismatris!$E$78=$J$82,Prismatris!E41,IF(Prismatris!$F$78=$J$82,Prismatris!F41,IF(Prismatris!$G$78=$J$82,Prismatris!G41,IF(Prismatris!$H$78=$J$82,Prismatris!H41)))))),"")</f>
        <v/>
      </c>
      <c r="I59" s="82"/>
      <c r="J59" s="83"/>
      <c r="K59" s="84"/>
    </row>
    <row r="60" spans="2:12" x14ac:dyDescent="0.35">
      <c r="B60" s="40"/>
      <c r="C60" s="98" t="s">
        <v>71</v>
      </c>
      <c r="D60" s="99"/>
      <c r="E60" s="99"/>
      <c r="F60" s="100"/>
      <c r="H60" s="56" t="str">
        <f>IF(B60&gt;0,IF(Prismatris!$C$78=$J$82,Prismatris!C44,IF(Prismatris!$D$78=$J$82,Prismatris!D44,IF(Prismatris!$E$78=$J$82,Prismatris!E44,IF(Prismatris!$F$78=$J$82,Prismatris!F44,IF(Prismatris!$G$78=$J$82,Prismatris!G44,IF(Prismatris!$H$78=$J$82,Prismatris!H44)))))),"")</f>
        <v/>
      </c>
      <c r="I60" s="82"/>
      <c r="J60" s="83"/>
      <c r="K60" s="84"/>
    </row>
    <row r="61" spans="2:12" x14ac:dyDescent="0.35">
      <c r="B61" s="40"/>
      <c r="C61" s="98" t="s">
        <v>72</v>
      </c>
      <c r="D61" s="99"/>
      <c r="E61" s="99"/>
      <c r="F61" s="100"/>
      <c r="H61" s="56" t="str">
        <f>IF(B61&gt;0,IF(Prismatris!$C$78=$J$82,Prismatris!C47,IF(Prismatris!$D$78=$J$82,Prismatris!D47,IF(Prismatris!$E$78=$J$82,Prismatris!E47,IF(Prismatris!$F$78=$J$82,Prismatris!F47,IF(Prismatris!$G$78=$J$82,Prismatris!G47,IF(Prismatris!$H$78=$J$82,Prismatris!H47)))))),"")</f>
        <v/>
      </c>
      <c r="I61" s="82"/>
      <c r="J61" s="83"/>
      <c r="K61" s="84"/>
    </row>
    <row r="62" spans="2:12" x14ac:dyDescent="0.35">
      <c r="B62" s="40"/>
      <c r="C62" s="98" t="s">
        <v>73</v>
      </c>
      <c r="D62" s="99"/>
      <c r="E62" s="99"/>
      <c r="F62" s="100"/>
      <c r="H62" s="56" t="str">
        <f>IF(B62&gt;0,IF(Prismatris!$C$78=$J$82,Prismatris!C50,IF(Prismatris!$D$78=$J$82,Prismatris!D50,IF(Prismatris!$E$78=$J$82,Prismatris!E50,IF(Prismatris!$F$78=$J$82,Prismatris!F50,IF(Prismatris!$G$78=$J$82,Prismatris!G50,IF(Prismatris!$H$78=$J$82,Prismatris!H50)))))),"")</f>
        <v/>
      </c>
      <c r="I62" s="82"/>
      <c r="J62" s="83"/>
      <c r="K62" s="84"/>
    </row>
    <row r="63" spans="2:12" x14ac:dyDescent="0.35">
      <c r="B63" s="40"/>
      <c r="C63" s="98" t="s">
        <v>74</v>
      </c>
      <c r="D63" s="99"/>
      <c r="E63" s="99"/>
      <c r="F63" s="100"/>
      <c r="H63" s="56" t="str">
        <f>IF(B63&gt;0,IF(Prismatris!$C$78=$J$82,Prismatris!C53,IF(Prismatris!$D$78=$J$82,Prismatris!D53,IF(Prismatris!$E$78=$J$82,Prismatris!E53,IF(Prismatris!$F$78=$J$82,Prismatris!F53,IF(Prismatris!$G$78=$J$82,Prismatris!G53,IF(Prismatris!$H$78=$J$82,Prismatris!H53)))))),"")</f>
        <v/>
      </c>
      <c r="I63" s="85"/>
      <c r="J63" s="86"/>
      <c r="K63" s="87"/>
    </row>
    <row r="64" spans="2:12" ht="14" thickBot="1" x14ac:dyDescent="0.4">
      <c r="G64" s="51"/>
      <c r="I64" s="70"/>
      <c r="J64" s="70"/>
      <c r="K64" s="70"/>
    </row>
    <row r="65" spans="1:11" x14ac:dyDescent="0.35">
      <c r="B65" s="105" t="s">
        <v>119</v>
      </c>
      <c r="C65" s="106"/>
      <c r="D65" s="106"/>
      <c r="E65" s="106"/>
      <c r="F65" s="106"/>
      <c r="G65" s="53"/>
      <c r="H65" s="36"/>
      <c r="I65" s="68"/>
      <c r="J65" s="53"/>
      <c r="K65" s="69"/>
    </row>
    <row r="66" spans="1:11" x14ac:dyDescent="0.35">
      <c r="B66" s="38" t="s">
        <v>12</v>
      </c>
      <c r="C66" s="101" t="s">
        <v>29</v>
      </c>
      <c r="D66" s="101"/>
      <c r="E66" s="101"/>
      <c r="F66" s="101"/>
      <c r="H66" s="39" t="s">
        <v>10</v>
      </c>
      <c r="I66" s="107" t="s">
        <v>35</v>
      </c>
      <c r="J66" s="108"/>
      <c r="K66" s="109"/>
    </row>
    <row r="67" spans="1:11" x14ac:dyDescent="0.35">
      <c r="B67" s="40"/>
      <c r="C67" s="118" t="s">
        <v>75</v>
      </c>
      <c r="D67" s="99"/>
      <c r="E67" s="99"/>
      <c r="F67" s="100"/>
      <c r="H67" s="56" t="str">
        <f>IF(B67&gt;0,IF(Prismatris!$C$78=$J$82,Prismatris!C58,IF(Prismatris!$D$78=$J$82,Prismatris!D58,IF(Prismatris!$E$78=$J$82,Prismatris!E58,IF(Prismatris!$F$78=$J$82,Prismatris!F58,IF(Prismatris!$G$78=$J$82,Prismatris!G58,IF(Prismatris!$H$78=$J$82,Prismatris!H58)))))),"")</f>
        <v/>
      </c>
      <c r="I67" s="115"/>
      <c r="J67" s="116"/>
      <c r="K67" s="117"/>
    </row>
    <row r="68" spans="1:11" x14ac:dyDescent="0.35">
      <c r="B68" s="40"/>
      <c r="C68" s="98" t="s">
        <v>76</v>
      </c>
      <c r="D68" s="99"/>
      <c r="E68" s="99"/>
      <c r="F68" s="100"/>
      <c r="H68" s="56" t="str">
        <f>IF(B68&gt;0,IF(Prismatris!$C$78=$J$82,Prismatris!C61,IF(Prismatris!$D$78=$J$82,Prismatris!D61,IF(Prismatris!$E$78=$J$82,Prismatris!E61,IF(Prismatris!$F$78=$J$82,Prismatris!F61,IF(Prismatris!$G$78=$J$82,Prismatris!G61,IF(Prismatris!$H$78=$J$82,Prismatris!H61)))))),"")</f>
        <v/>
      </c>
      <c r="I68" s="85"/>
      <c r="J68" s="86"/>
      <c r="K68" s="87"/>
    </row>
    <row r="69" spans="1:11" x14ac:dyDescent="0.35">
      <c r="A69" s="47"/>
      <c r="B69" s="47"/>
      <c r="C69" s="47"/>
      <c r="D69" s="47"/>
      <c r="E69" s="47"/>
      <c r="F69" s="47"/>
      <c r="G69" s="58"/>
      <c r="H69" s="47"/>
      <c r="I69" s="70"/>
      <c r="J69" s="70"/>
      <c r="K69" s="70"/>
    </row>
    <row r="70" spans="1:11" ht="14" thickBot="1" x14ac:dyDescent="0.4">
      <c r="I70" s="47"/>
      <c r="J70" s="47"/>
      <c r="K70" s="47"/>
    </row>
    <row r="71" spans="1:11" ht="14.25" customHeight="1" x14ac:dyDescent="0.45">
      <c r="F71" s="10" t="s">
        <v>2</v>
      </c>
      <c r="G71" s="91">
        <f>IF(J82=1,Prismatris!E88,IF(J82=2,Prismatris!E89,IF(J82=3,Prismatris!E90,IF(J82=4,Prismatris!E91,IF(J82=5,Prismatris!E92,IF(J82=6,Prismatris!E93,""))))))</f>
        <v>0</v>
      </c>
      <c r="H71" s="92"/>
    </row>
    <row r="72" spans="1:11" ht="14.25" customHeight="1" x14ac:dyDescent="0.35"/>
    <row r="73" spans="1:11" ht="19.5" customHeight="1" x14ac:dyDescent="0.4">
      <c r="C73" s="11" t="s">
        <v>3</v>
      </c>
      <c r="D73" s="11"/>
    </row>
    <row r="74" spans="1:11" ht="14.25" customHeight="1" x14ac:dyDescent="0.35"/>
    <row r="75" spans="1:11" ht="14.25" customHeight="1" x14ac:dyDescent="0.35">
      <c r="C75" s="2" t="s">
        <v>4</v>
      </c>
      <c r="F75" s="110" t="str">
        <f>Prismatris!C88</f>
        <v/>
      </c>
      <c r="G75" s="90"/>
      <c r="K75" s="7">
        <f>Prismatris!E88</f>
        <v>0</v>
      </c>
    </row>
    <row r="76" spans="1:11" ht="14.25" customHeight="1" x14ac:dyDescent="0.35">
      <c r="C76" s="2" t="s">
        <v>5</v>
      </c>
      <c r="F76" s="110" t="str">
        <f>Prismatris!C89</f>
        <v/>
      </c>
      <c r="G76" s="90"/>
      <c r="K76" s="7">
        <f>Prismatris!E89</f>
        <v>0</v>
      </c>
    </row>
    <row r="77" spans="1:11" ht="14.25" customHeight="1" x14ac:dyDescent="0.35">
      <c r="C77" s="2" t="s">
        <v>6</v>
      </c>
      <c r="F77" s="110" t="str">
        <f>Prismatris!C90</f>
        <v/>
      </c>
      <c r="G77" s="90"/>
      <c r="K77" s="7">
        <f>Prismatris!E90</f>
        <v>0</v>
      </c>
    </row>
    <row r="78" spans="1:11" ht="14.25" customHeight="1" x14ac:dyDescent="0.35">
      <c r="C78" s="2" t="s">
        <v>39</v>
      </c>
      <c r="F78" s="110" t="str">
        <f>Prismatris!C91</f>
        <v/>
      </c>
      <c r="G78" s="90"/>
      <c r="K78" s="7">
        <f>Prismatris!E91</f>
        <v>0</v>
      </c>
    </row>
    <row r="79" spans="1:11" ht="14.25" customHeight="1" x14ac:dyDescent="0.35">
      <c r="C79" s="2" t="s">
        <v>116</v>
      </c>
      <c r="F79" s="110" t="str">
        <f>Prismatris!C92</f>
        <v/>
      </c>
      <c r="G79" s="90"/>
      <c r="K79" s="7">
        <f>Prismatris!E92</f>
        <v>0</v>
      </c>
    </row>
    <row r="80" spans="1:11" ht="14.25" customHeight="1" x14ac:dyDescent="0.35">
      <c r="C80" s="2" t="s">
        <v>117</v>
      </c>
      <c r="F80" s="110" t="str">
        <f>Prismatris!C93</f>
        <v/>
      </c>
      <c r="G80" s="90"/>
      <c r="K80" s="7">
        <f>Prismatris!E93</f>
        <v>0</v>
      </c>
    </row>
    <row r="82" spans="3:10" x14ac:dyDescent="0.35">
      <c r="C82" s="2" t="s">
        <v>37</v>
      </c>
      <c r="J82" s="13">
        <v>1</v>
      </c>
    </row>
    <row r="85" spans="3:10" x14ac:dyDescent="0.35">
      <c r="C85" s="2" t="s">
        <v>7</v>
      </c>
      <c r="H85" s="2" t="s">
        <v>8</v>
      </c>
    </row>
    <row r="89" spans="3:10" ht="14" thickBot="1" x14ac:dyDescent="0.4">
      <c r="C89" s="12"/>
      <c r="D89" s="12"/>
      <c r="H89" s="12"/>
      <c r="I89" s="12"/>
    </row>
    <row r="92" spans="3:10" x14ac:dyDescent="0.35">
      <c r="C92" s="2" t="s">
        <v>9</v>
      </c>
      <c r="H92" s="2" t="s">
        <v>9</v>
      </c>
    </row>
  </sheetData>
  <sheetProtection algorithmName="SHA-512" hashValue="4b/wohFIdB8jAiv7nawNn7pix/wsvN8nBQrlFKHenOtzJ6vNqqL8TFvGMpyi3yfMkpQ9JWTBGo7oM/3nzCJbJw==" saltValue="z7ayWnhWhdGXuXZoSjR+tQ==" spinCount="100000" sheet="1" formatColumns="0" formatRows="0"/>
  <protectedRanges>
    <protectedRange sqref="D8:F21 H14 J82 J2:L4" name="Huvud"/>
    <protectedRange sqref="B40 B54 B44 B36 B32 B48 C54 I54" name="Mobiltelefoner"/>
    <protectedRange sqref="I67:K68 I58:K63 I54:K54 B58:B63 B67:B68" name="Skärmar rekond tjänster"/>
    <protectedRange sqref="B58:B63 B67:B68" name="Tillbehör"/>
  </protectedRanges>
  <mergeCells count="82">
    <mergeCell ref="M24:O24"/>
    <mergeCell ref="M26:O27"/>
    <mergeCell ref="M31:O32"/>
    <mergeCell ref="M35:O36"/>
    <mergeCell ref="J26:L27"/>
    <mergeCell ref="J35:L36"/>
    <mergeCell ref="J39:L40"/>
    <mergeCell ref="J43:L51"/>
    <mergeCell ref="B52:E52"/>
    <mergeCell ref="C53:F53"/>
    <mergeCell ref="C54:F54"/>
    <mergeCell ref="I53:K53"/>
    <mergeCell ref="I54:K54"/>
    <mergeCell ref="D48:G48"/>
    <mergeCell ref="B34:E34"/>
    <mergeCell ref="D31:G31"/>
    <mergeCell ref="D32:G32"/>
    <mergeCell ref="D35:G35"/>
    <mergeCell ref="D36:G36"/>
    <mergeCell ref="B38:E38"/>
    <mergeCell ref="D43:G43"/>
    <mergeCell ref="D44:G44"/>
    <mergeCell ref="B46:E46"/>
    <mergeCell ref="D47:G47"/>
    <mergeCell ref="J2:L2"/>
    <mergeCell ref="J3:L3"/>
    <mergeCell ref="J4:L4"/>
    <mergeCell ref="D13:F13"/>
    <mergeCell ref="B30:E30"/>
    <mergeCell ref="D8:F8"/>
    <mergeCell ref="D9:F9"/>
    <mergeCell ref="D10:F10"/>
    <mergeCell ref="D11:F11"/>
    <mergeCell ref="D12:F12"/>
    <mergeCell ref="D14:F14"/>
    <mergeCell ref="D15:F15"/>
    <mergeCell ref="I8:L8"/>
    <mergeCell ref="I9:L9"/>
    <mergeCell ref="I12:L12"/>
    <mergeCell ref="D20:F20"/>
    <mergeCell ref="D21:F21"/>
    <mergeCell ref="B20:C20"/>
    <mergeCell ref="B21:C21"/>
    <mergeCell ref="H14:L21"/>
    <mergeCell ref="D17:F19"/>
    <mergeCell ref="F76:G76"/>
    <mergeCell ref="F77:G77"/>
    <mergeCell ref="F80:G80"/>
    <mergeCell ref="F75:G75"/>
    <mergeCell ref="I11:L11"/>
    <mergeCell ref="F78:G78"/>
    <mergeCell ref="F79:G79"/>
    <mergeCell ref="B56:F56"/>
    <mergeCell ref="J24:L24"/>
    <mergeCell ref="J31:L32"/>
    <mergeCell ref="I58:K58"/>
    <mergeCell ref="I66:K66"/>
    <mergeCell ref="C67:F67"/>
    <mergeCell ref="I67:K67"/>
    <mergeCell ref="C68:F68"/>
    <mergeCell ref="I68:K68"/>
    <mergeCell ref="I10:L10"/>
    <mergeCell ref="G71:H71"/>
    <mergeCell ref="D16:F16"/>
    <mergeCell ref="B42:E42"/>
    <mergeCell ref="C58:F58"/>
    <mergeCell ref="C57:F57"/>
    <mergeCell ref="C59:F59"/>
    <mergeCell ref="C60:F60"/>
    <mergeCell ref="C63:F63"/>
    <mergeCell ref="C61:F61"/>
    <mergeCell ref="C62:F62"/>
    <mergeCell ref="D39:G39"/>
    <mergeCell ref="D40:G40"/>
    <mergeCell ref="B65:F65"/>
    <mergeCell ref="C66:F66"/>
    <mergeCell ref="I57:K57"/>
    <mergeCell ref="I59:K59"/>
    <mergeCell ref="I60:K60"/>
    <mergeCell ref="I61:K61"/>
    <mergeCell ref="I62:K62"/>
    <mergeCell ref="I63:K63"/>
  </mergeCells>
  <phoneticPr fontId="22" type="noConversion"/>
  <conditionalFormatting sqref="B32 B36 B40 B44 B48">
    <cfRule type="expression" dxfId="29" priority="1635">
      <formula>IF(#REF!&gt;201,,)</formula>
    </cfRule>
  </conditionalFormatting>
  <conditionalFormatting sqref="B32">
    <cfRule type="expression" dxfId="28" priority="7">
      <formula>"OM($B$71&gt;200)"</formula>
    </cfRule>
  </conditionalFormatting>
  <conditionalFormatting sqref="B36">
    <cfRule type="expression" dxfId="27" priority="10">
      <formula>"OM($B$71&gt;200)"</formula>
    </cfRule>
  </conditionalFormatting>
  <conditionalFormatting sqref="B40 B36 B32">
    <cfRule type="containsBlanks" dxfId="26" priority="496">
      <formula>LEN(TRIM(B32))=0</formula>
    </cfRule>
  </conditionalFormatting>
  <conditionalFormatting sqref="B40">
    <cfRule type="expression" dxfId="25" priority="54">
      <formula>"OM($B$71&gt;200)"</formula>
    </cfRule>
  </conditionalFormatting>
  <conditionalFormatting sqref="B44">
    <cfRule type="expression" dxfId="24" priority="11">
      <formula>"OM($B$71&gt;200)"</formula>
    </cfRule>
    <cfRule type="containsBlanks" dxfId="23" priority="12">
      <formula>LEN(TRIM(B44))=0</formula>
    </cfRule>
    <cfRule type="expression" dxfId="22" priority="13">
      <formula>"OM($B$71&gt;200)"</formula>
    </cfRule>
    <cfRule type="containsBlanks" dxfId="21" priority="14">
      <formula>LEN(TRIM(B44))=0</formula>
    </cfRule>
    <cfRule type="expression" dxfId="20" priority="52">
      <formula>"OM($B$71&gt;200)"</formula>
    </cfRule>
    <cfRule type="containsBlanks" dxfId="19" priority="53">
      <formula>LEN(TRIM(B44))=0</formula>
    </cfRule>
  </conditionalFormatting>
  <conditionalFormatting sqref="B48">
    <cfRule type="expression" dxfId="18" priority="1">
      <formula>"OM($B$71&gt;200)"</formula>
    </cfRule>
    <cfRule type="containsBlanks" dxfId="17" priority="2">
      <formula>LEN(TRIM(B48))=0</formula>
    </cfRule>
    <cfRule type="expression" dxfId="16" priority="3">
      <formula>"OM($B$71&gt;200)"</formula>
    </cfRule>
    <cfRule type="containsBlanks" dxfId="15" priority="4">
      <formula>LEN(TRIM(B48))=0</formula>
    </cfRule>
    <cfRule type="expression" dxfId="14" priority="5">
      <formula>"OM($B$71&gt;200)"</formula>
    </cfRule>
    <cfRule type="containsBlanks" dxfId="13" priority="6">
      <formula>LEN(TRIM(B48))=0</formula>
    </cfRule>
    <cfRule type="expression" dxfId="12" priority="50">
      <formula>"OM($B$71&gt;200)"</formula>
    </cfRule>
    <cfRule type="containsBlanks" dxfId="11" priority="51">
      <formula>LEN(TRIM(B48))=0</formula>
    </cfRule>
  </conditionalFormatting>
  <conditionalFormatting sqref="B67:B68">
    <cfRule type="containsBlanks" dxfId="10" priority="23">
      <formula>LEN(TRIM(B67))=0</formula>
    </cfRule>
  </conditionalFormatting>
  <conditionalFormatting sqref="B54:C54">
    <cfRule type="expression" dxfId="9" priority="17">
      <formula>"OM($B$71&gt;200)"</formula>
    </cfRule>
    <cfRule type="containsBlanks" dxfId="8" priority="18">
      <formula>LEN(TRIM(B54))=0</formula>
    </cfRule>
    <cfRule type="expression" dxfId="7" priority="19">
      <formula>IF(#REF!&gt;201,,)</formula>
    </cfRule>
  </conditionalFormatting>
  <conditionalFormatting sqref="D8:D17">
    <cfRule type="containsBlanks" dxfId="6" priority="1614">
      <formula>LEN(TRIM(D8))=0</formula>
    </cfRule>
  </conditionalFormatting>
  <conditionalFormatting sqref="D20:D21">
    <cfRule type="containsBlanks" dxfId="5" priority="91">
      <formula>LEN(TRIM(D20))=0</formula>
    </cfRule>
  </conditionalFormatting>
  <conditionalFormatting sqref="H14">
    <cfRule type="containsBlanks" dxfId="4" priority="1597">
      <formula>LEN(TRIM(H14))=0</formula>
    </cfRule>
  </conditionalFormatting>
  <conditionalFormatting sqref="I8:I11">
    <cfRule type="beginsWith" dxfId="3" priority="1594" operator="beginsWith" text="Två eller">
      <formula>LEFT(I8,LEN("Två eller"))="Två eller"</formula>
    </cfRule>
    <cfRule type="expression" dxfId="2" priority="1633">
      <formula>IF(#REF!="Kan ej leverera","Sant","Falskt")</formula>
    </cfRule>
  </conditionalFormatting>
  <conditionalFormatting sqref="I12">
    <cfRule type="expression" dxfId="1" priority="1634">
      <formula>IF(P17="Kan ej leverera","Sant","Falskt")</formula>
    </cfRule>
  </conditionalFormatting>
  <conditionalFormatting sqref="J2:J4 B58:B63">
    <cfRule type="containsBlanks" dxfId="0" priority="56">
      <formula>LEN(TRIM(B2))=0</formula>
    </cfRule>
  </conditionalFormatting>
  <dataValidations count="5">
    <dataValidation type="list" allowBlank="1" showInputMessage="1" showErrorMessage="1" sqref="J82" xr:uid="{00000000-0002-0000-0000-000001000000}">
      <formula1>"1,2,3,4,5,6"</formula1>
    </dataValidation>
    <dataValidation type="whole" operator="greaterThan" allowBlank="1" showInputMessage="1" showErrorMessage="1" sqref="B67:B68 B58:B63 C54:F54" xr:uid="{8D0761FC-96D3-4823-8444-63D32C086837}">
      <formula1>-1</formula1>
    </dataValidation>
    <dataValidation type="whole" operator="greaterThan" allowBlank="1" showInputMessage="1" showErrorMessage="1" errorTitle=" " error="Beställ med siffror. Det totala antal produkter får inte överstiga 250 per avrop exklusive tjänster och tillbehör " sqref="B54" xr:uid="{010E34E7-7BEC-4B54-9114-5D666A198137}">
      <formula1>-1</formula1>
    </dataValidation>
    <dataValidation type="whole" allowBlank="1" showInputMessage="1" showErrorMessage="1" errorTitle=" " error="Beställ med siffror. Det totala antal bärbara datorer får inte överstiga 200 per avrop exklusive tjänster och tillbehör " sqref="B40 B44 B36 B32" xr:uid="{74E0118B-2BF2-4563-9822-12ECCECECB2E}">
      <formula1>0</formula1>
      <formula2>IF($B$45&gt;200,0)</formula2>
    </dataValidation>
    <dataValidation type="whole" operator="greaterThan" allowBlank="1" showInputMessage="1" showErrorMessage="1" errorTitle=" " error="Beställ med siffror. Det totala antal bärbara datorer får inte överstiga 200 per avrop exklusive tjänster och tillbehör " sqref="B48" xr:uid="{E4CDCFD6-25DC-41A8-BF0B-93230D91B7FF}">
      <formula1>-1</formula1>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T97"/>
  <sheetViews>
    <sheetView zoomScale="70" zoomScaleNormal="70" workbookViewId="0">
      <pane xSplit="1" ySplit="1" topLeftCell="D2" activePane="bottomRight" state="frozen"/>
      <selection pane="topRight" activeCell="B1" sqref="B1"/>
      <selection pane="bottomLeft" activeCell="A2" sqref="A2"/>
      <selection pane="bottomRight" activeCell="F4" sqref="F4"/>
    </sheetView>
  </sheetViews>
  <sheetFormatPr defaultColWidth="9" defaultRowHeight="13.5" x14ac:dyDescent="0.35"/>
  <cols>
    <col min="1" max="1" width="42.08203125" style="2" customWidth="1"/>
    <col min="2" max="2" width="0.58203125" style="2" customWidth="1"/>
    <col min="3" max="6" width="19.33203125" style="2" customWidth="1"/>
    <col min="7" max="7" width="19.33203125" style="3" customWidth="1"/>
    <col min="8" max="8" width="17.33203125" style="2" customWidth="1"/>
    <col min="9" max="13" width="14.58203125" style="2" customWidth="1"/>
    <col min="14" max="14" width="4.58203125" style="2" customWidth="1"/>
    <col min="15" max="20" width="13.5" style="2" customWidth="1"/>
    <col min="21" max="16384" width="9" style="2"/>
  </cols>
  <sheetData>
    <row r="1" spans="1:8" x14ac:dyDescent="0.35">
      <c r="A1" s="21" t="s">
        <v>1</v>
      </c>
      <c r="B1" s="21"/>
      <c r="C1" s="28" t="s">
        <v>41</v>
      </c>
      <c r="D1" s="28" t="s">
        <v>42</v>
      </c>
      <c r="E1" s="28" t="s">
        <v>127</v>
      </c>
      <c r="F1" s="28" t="s">
        <v>83</v>
      </c>
      <c r="G1" s="28" t="s">
        <v>61</v>
      </c>
      <c r="H1" s="2" t="s">
        <v>118</v>
      </c>
    </row>
    <row r="2" spans="1:8" x14ac:dyDescent="0.35">
      <c r="A2" s="21" t="s">
        <v>25</v>
      </c>
      <c r="B2" s="21"/>
      <c r="C2" s="1" t="s">
        <v>43</v>
      </c>
      <c r="D2" s="1" t="s">
        <v>44</v>
      </c>
      <c r="E2" s="2" t="s">
        <v>126</v>
      </c>
      <c r="F2" s="2" t="s">
        <v>130</v>
      </c>
      <c r="G2" s="1" t="s">
        <v>62</v>
      </c>
      <c r="H2" s="2" t="s">
        <v>138</v>
      </c>
    </row>
    <row r="3" spans="1:8" x14ac:dyDescent="0.35">
      <c r="A3" s="21" t="s">
        <v>18</v>
      </c>
      <c r="B3" s="21"/>
      <c r="C3" s="48" t="s">
        <v>63</v>
      </c>
      <c r="D3" s="48" t="s">
        <v>65</v>
      </c>
      <c r="E3" s="48" t="s">
        <v>128</v>
      </c>
      <c r="F3" s="48" t="s">
        <v>159</v>
      </c>
      <c r="G3" s="48" t="s">
        <v>58</v>
      </c>
      <c r="H3" s="48" t="s">
        <v>136</v>
      </c>
    </row>
    <row r="4" spans="1:8" x14ac:dyDescent="0.35">
      <c r="A4" s="21" t="s">
        <v>19</v>
      </c>
      <c r="B4" s="21"/>
      <c r="C4" s="48" t="s">
        <v>64</v>
      </c>
      <c r="D4" s="48" t="s">
        <v>66</v>
      </c>
      <c r="E4" s="48" t="s">
        <v>129</v>
      </c>
      <c r="F4" s="48" t="s">
        <v>160</v>
      </c>
      <c r="G4" s="48" t="s">
        <v>67</v>
      </c>
      <c r="H4" s="48" t="s">
        <v>137</v>
      </c>
    </row>
    <row r="5" spans="1:8" x14ac:dyDescent="0.35">
      <c r="A5" s="21" t="s">
        <v>20</v>
      </c>
      <c r="B5" s="21"/>
      <c r="C5" s="49" t="s">
        <v>142</v>
      </c>
      <c r="D5" s="50" t="s">
        <v>133</v>
      </c>
      <c r="E5" s="49" t="s">
        <v>131</v>
      </c>
      <c r="F5" s="49" t="s">
        <v>132</v>
      </c>
      <c r="G5" s="49" t="s">
        <v>134</v>
      </c>
      <c r="H5" s="49" t="s">
        <v>135</v>
      </c>
    </row>
    <row r="6" spans="1:8" x14ac:dyDescent="0.35">
      <c r="C6" s="73">
        <v>4</v>
      </c>
      <c r="D6" s="73">
        <v>1</v>
      </c>
      <c r="E6" s="73">
        <v>6</v>
      </c>
      <c r="F6" s="73">
        <v>2</v>
      </c>
      <c r="G6" s="73">
        <v>5</v>
      </c>
      <c r="H6" s="73">
        <v>3</v>
      </c>
    </row>
    <row r="7" spans="1:8" x14ac:dyDescent="0.35">
      <c r="G7" s="2"/>
    </row>
    <row r="8" spans="1:8" ht="25" x14ac:dyDescent="0.5">
      <c r="A8" s="76" t="str">
        <f>'Avropsmall Bärbara'!B3</f>
        <v>Bärbara datorer</v>
      </c>
      <c r="B8" s="76"/>
      <c r="G8" s="2"/>
    </row>
    <row r="9" spans="1:8" x14ac:dyDescent="0.35">
      <c r="G9" s="2"/>
    </row>
    <row r="10" spans="1:8" ht="20" x14ac:dyDescent="0.4">
      <c r="A10" s="11" t="s">
        <v>81</v>
      </c>
      <c r="B10" s="11"/>
      <c r="G10" s="2"/>
    </row>
    <row r="11" spans="1:8" x14ac:dyDescent="0.35">
      <c r="A11" t="str">
        <f>'Avropsmall Bärbara'!B30</f>
        <v>4.1.2.1 Bärbar dator Windows Mindre</v>
      </c>
      <c r="B11"/>
      <c r="C11" s="57" t="s">
        <v>143</v>
      </c>
      <c r="D11" s="57" t="s">
        <v>147</v>
      </c>
      <c r="E11" s="57" t="s">
        <v>157</v>
      </c>
      <c r="F11" s="57" t="s">
        <v>150</v>
      </c>
      <c r="G11" s="57" t="s">
        <v>147</v>
      </c>
      <c r="H11" s="57" t="s">
        <v>154</v>
      </c>
    </row>
    <row r="12" spans="1:8" x14ac:dyDescent="0.35">
      <c r="A12" s="2" t="s">
        <v>91</v>
      </c>
      <c r="C12" s="54">
        <v>11221.86</v>
      </c>
      <c r="D12" s="54">
        <v>12760</v>
      </c>
      <c r="E12" s="54">
        <v>10429</v>
      </c>
      <c r="F12" s="54">
        <v>10754</v>
      </c>
      <c r="G12" s="54">
        <v>11686</v>
      </c>
      <c r="H12" s="54">
        <v>9960</v>
      </c>
    </row>
    <row r="13" spans="1:8" x14ac:dyDescent="0.35">
      <c r="A13" t="s">
        <v>10</v>
      </c>
      <c r="B13"/>
      <c r="C13" s="54">
        <f>SUM(C12*'Avropsmall Bärbara'!$B$32)</f>
        <v>0</v>
      </c>
      <c r="D13" s="54">
        <f>SUM(D12*'Avropsmall Bärbara'!$B$32)</f>
        <v>0</v>
      </c>
      <c r="E13" s="54">
        <f>SUM(E12*'Avropsmall Bärbara'!$B$32)</f>
        <v>0</v>
      </c>
      <c r="F13" s="54">
        <f>SUM(F12*'Avropsmall Bärbara'!$B$32)</f>
        <v>0</v>
      </c>
      <c r="G13" s="54">
        <f>SUM(G12*'Avropsmall Bärbara'!$B$32)</f>
        <v>0</v>
      </c>
      <c r="H13" s="54">
        <f>SUM(H12*'Avropsmall Bärbara'!$B$32)</f>
        <v>0</v>
      </c>
    </row>
    <row r="14" spans="1:8" x14ac:dyDescent="0.35">
      <c r="A14"/>
      <c r="B14"/>
      <c r="C14" s="54"/>
      <c r="D14" s="54"/>
      <c r="E14" s="54"/>
      <c r="F14" s="54"/>
      <c r="G14" s="54"/>
    </row>
    <row r="15" spans="1:8" x14ac:dyDescent="0.35">
      <c r="A15" t="str">
        <f>'Avropsmall Bärbara'!B34</f>
        <v>4.1.2.2 Bärbar dator Windows Större</v>
      </c>
      <c r="B15"/>
      <c r="C15" s="57" t="s">
        <v>144</v>
      </c>
      <c r="D15" s="57" t="s">
        <v>148</v>
      </c>
      <c r="E15" s="57" t="s">
        <v>158</v>
      </c>
      <c r="F15" s="57" t="s">
        <v>151</v>
      </c>
      <c r="G15" s="57" t="s">
        <v>153</v>
      </c>
      <c r="H15" s="57" t="s">
        <v>155</v>
      </c>
    </row>
    <row r="16" spans="1:8" x14ac:dyDescent="0.35">
      <c r="A16" s="2" t="s">
        <v>91</v>
      </c>
      <c r="C16" s="54">
        <v>11233.08</v>
      </c>
      <c r="D16" s="54">
        <v>11126</v>
      </c>
      <c r="E16" s="54">
        <v>10431</v>
      </c>
      <c r="F16" s="54">
        <v>10988</v>
      </c>
      <c r="G16" s="54">
        <v>11527</v>
      </c>
      <c r="H16" s="54">
        <v>8919</v>
      </c>
    </row>
    <row r="17" spans="1:12" x14ac:dyDescent="0.35">
      <c r="A17" t="s">
        <v>10</v>
      </c>
      <c r="B17"/>
      <c r="C17" s="54">
        <f>SUM(C16*'Avropsmall Bärbara'!$B$36)</f>
        <v>0</v>
      </c>
      <c r="D17" s="54">
        <f>SUM(D16*'Avropsmall Bärbara'!$B$36)</f>
        <v>0</v>
      </c>
      <c r="E17" s="54">
        <f>SUM(E16*'Avropsmall Bärbara'!$B$36)</f>
        <v>0</v>
      </c>
      <c r="F17" s="54">
        <f>SUM(F16*'Avropsmall Bärbara'!$B$36)</f>
        <v>0</v>
      </c>
      <c r="G17" s="54">
        <f>SUM(G16*'Avropsmall Bärbara'!$B$36)</f>
        <v>0</v>
      </c>
      <c r="H17" s="54">
        <f>SUM(H16*'Avropsmall Bärbara'!$B$36)</f>
        <v>0</v>
      </c>
    </row>
    <row r="18" spans="1:12" x14ac:dyDescent="0.35">
      <c r="A18" s="52"/>
      <c r="B18" s="81"/>
      <c r="C18" s="54"/>
      <c r="D18" s="54"/>
      <c r="E18" s="54"/>
      <c r="F18" s="54"/>
      <c r="G18" s="54"/>
    </row>
    <row r="19" spans="1:12" x14ac:dyDescent="0.35">
      <c r="A19" t="str">
        <f>'Avropsmall Bärbara'!B38</f>
        <v>4.1.2.3 Bärbar dator Chrome OS</v>
      </c>
      <c r="B19"/>
      <c r="C19" s="57" t="s">
        <v>145</v>
      </c>
      <c r="D19" s="57" t="s">
        <v>139</v>
      </c>
      <c r="E19" s="57" t="s">
        <v>139</v>
      </c>
      <c r="F19" s="57" t="s">
        <v>139</v>
      </c>
      <c r="G19" s="57" t="s">
        <v>139</v>
      </c>
      <c r="H19" s="57" t="s">
        <v>139</v>
      </c>
    </row>
    <row r="20" spans="1:12" x14ac:dyDescent="0.35">
      <c r="A20" s="2" t="s">
        <v>91</v>
      </c>
      <c r="C20" s="54">
        <v>10369.07</v>
      </c>
      <c r="D20" s="54">
        <v>8485</v>
      </c>
      <c r="E20" s="54">
        <v>10041</v>
      </c>
      <c r="F20" s="54">
        <v>7210</v>
      </c>
      <c r="G20" s="54">
        <v>8188</v>
      </c>
      <c r="H20" s="54">
        <v>8526</v>
      </c>
    </row>
    <row r="21" spans="1:12" x14ac:dyDescent="0.35">
      <c r="A21" t="s">
        <v>10</v>
      </c>
      <c r="B21"/>
      <c r="C21" s="54">
        <f>SUM(C20*'Avropsmall Bärbara'!$B$40)</f>
        <v>0</v>
      </c>
      <c r="D21" s="54">
        <f>SUM(D20*'Avropsmall Bärbara'!$B$40)</f>
        <v>0</v>
      </c>
      <c r="E21" s="54">
        <f>SUM(E20*'Avropsmall Bärbara'!$B$40)</f>
        <v>0</v>
      </c>
      <c r="F21" s="54">
        <f>SUM(F20*'Avropsmall Bärbara'!$B$40)</f>
        <v>0</v>
      </c>
      <c r="G21" s="54">
        <f>SUM(G20*'Avropsmall Bärbara'!$B$40)</f>
        <v>0</v>
      </c>
      <c r="H21" s="54">
        <f>SUM(H20*'Avropsmall Bärbara'!$B$40)</f>
        <v>0</v>
      </c>
    </row>
    <row r="22" spans="1:12" x14ac:dyDescent="0.35">
      <c r="A22"/>
      <c r="B22"/>
      <c r="C22" s="54"/>
      <c r="D22" s="54"/>
      <c r="E22" s="54"/>
      <c r="F22" s="54"/>
      <c r="G22" s="54"/>
    </row>
    <row r="23" spans="1:12" x14ac:dyDescent="0.35">
      <c r="A23" t="str">
        <f>'Avropsmall Bärbara'!B42</f>
        <v>4.1.2.4 Bärbar dator Mac OS</v>
      </c>
      <c r="B23"/>
      <c r="C23" s="57" t="s">
        <v>146</v>
      </c>
      <c r="D23" s="57" t="s">
        <v>149</v>
      </c>
      <c r="E23" s="57" t="s">
        <v>141</v>
      </c>
      <c r="F23" s="57" t="s">
        <v>152</v>
      </c>
      <c r="G23" s="57" t="s">
        <v>141</v>
      </c>
      <c r="H23" s="57" t="s">
        <v>141</v>
      </c>
    </row>
    <row r="24" spans="1:12" x14ac:dyDescent="0.35">
      <c r="A24" s="2" t="s">
        <v>91</v>
      </c>
      <c r="C24" s="54">
        <v>12868.54</v>
      </c>
      <c r="D24" s="54">
        <v>10049</v>
      </c>
      <c r="E24" s="54">
        <v>13220</v>
      </c>
      <c r="F24" s="54">
        <v>11999</v>
      </c>
      <c r="G24" s="54">
        <v>10128</v>
      </c>
      <c r="H24" s="54">
        <v>9906</v>
      </c>
    </row>
    <row r="25" spans="1:12" x14ac:dyDescent="0.35">
      <c r="A25" t="s">
        <v>10</v>
      </c>
      <c r="B25"/>
      <c r="C25" s="54">
        <f>SUM(C24*'Avropsmall Bärbara'!$B$44)</f>
        <v>0</v>
      </c>
      <c r="D25" s="54">
        <f>SUM(D24*'Avropsmall Bärbara'!$B$44)</f>
        <v>0</v>
      </c>
      <c r="E25" s="54">
        <f>SUM(E24*'Avropsmall Bärbara'!$B$44)</f>
        <v>0</v>
      </c>
      <c r="F25" s="54">
        <f>SUM(F24*'Avropsmall Bärbara'!$B$44)</f>
        <v>0</v>
      </c>
      <c r="G25" s="54">
        <f>SUM(G24*'Avropsmall Bärbara'!$B$44)</f>
        <v>0</v>
      </c>
      <c r="H25" s="54">
        <f>SUM(H24*'Avropsmall Bärbara'!$B$44)</f>
        <v>0</v>
      </c>
    </row>
    <row r="26" spans="1:12" x14ac:dyDescent="0.35">
      <c r="A26"/>
      <c r="B26"/>
      <c r="C26" s="54"/>
      <c r="D26" s="54"/>
      <c r="E26" s="54"/>
      <c r="F26" s="54"/>
      <c r="G26" s="54"/>
    </row>
    <row r="27" spans="1:12" x14ac:dyDescent="0.35">
      <c r="A27" t="str">
        <f>'Avropsmall Bärbara'!B46</f>
        <v>4.1.2.5 Laddare med USB-C för datorer</v>
      </c>
      <c r="B27"/>
      <c r="C27" s="57" t="s">
        <v>140</v>
      </c>
      <c r="D27" s="57" t="s">
        <v>140</v>
      </c>
      <c r="E27" s="57" t="s">
        <v>140</v>
      </c>
      <c r="F27" s="57" t="s">
        <v>140</v>
      </c>
      <c r="G27" s="57" t="s">
        <v>140</v>
      </c>
      <c r="H27" s="57" t="s">
        <v>140</v>
      </c>
    </row>
    <row r="28" spans="1:12" x14ac:dyDescent="0.35">
      <c r="A28" s="2" t="s">
        <v>91</v>
      </c>
      <c r="C28" s="54">
        <v>207.69</v>
      </c>
      <c r="D28" s="54">
        <v>173</v>
      </c>
      <c r="E28" s="54">
        <v>264</v>
      </c>
      <c r="F28" s="54">
        <v>204</v>
      </c>
      <c r="G28" s="54">
        <v>250</v>
      </c>
      <c r="H28" s="54">
        <v>312</v>
      </c>
    </row>
    <row r="29" spans="1:12" x14ac:dyDescent="0.35">
      <c r="A29" t="s">
        <v>10</v>
      </c>
      <c r="B29"/>
      <c r="C29" s="54">
        <f>SUM(C28*'Avropsmall Bärbara'!$B$48)</f>
        <v>0</v>
      </c>
      <c r="D29" s="54">
        <f>SUM(D28*'Avropsmall Bärbara'!$B$48)</f>
        <v>0</v>
      </c>
      <c r="E29" s="54">
        <f>SUM(E28*'Avropsmall Bärbara'!$B$48)</f>
        <v>0</v>
      </c>
      <c r="F29" s="54">
        <f>SUM(F28*'Avropsmall Bärbara'!$B$48)</f>
        <v>0</v>
      </c>
      <c r="G29" s="54">
        <f>SUM(G28*'Avropsmall Bärbara'!$B$48)</f>
        <v>0</v>
      </c>
      <c r="H29" s="54">
        <f>SUM(H28*'Avropsmall Bärbara'!$B$48)</f>
        <v>0</v>
      </c>
    </row>
    <row r="30" spans="1:12" x14ac:dyDescent="0.35">
      <c r="A30"/>
      <c r="B30"/>
      <c r="C30" s="54"/>
      <c r="D30" s="54"/>
      <c r="E30" s="54"/>
      <c r="F30" s="54"/>
      <c r="G30" s="54"/>
      <c r="H30" s="14"/>
    </row>
    <row r="31" spans="1:12" x14ac:dyDescent="0.35">
      <c r="A31" t="str">
        <f>'Avropsmall Bärbara'!B52</f>
        <v>3.4.4 Utökad kundtjänst</v>
      </c>
      <c r="B31"/>
      <c r="C31" s="54">
        <v>995</v>
      </c>
      <c r="D31" s="54">
        <v>1000</v>
      </c>
      <c r="E31" s="54">
        <v>300</v>
      </c>
      <c r="F31" s="54">
        <v>20</v>
      </c>
      <c r="G31" s="54">
        <v>1900</v>
      </c>
      <c r="H31" s="54">
        <v>5</v>
      </c>
      <c r="I31"/>
      <c r="K31"/>
      <c r="L31"/>
    </row>
    <row r="32" spans="1:12" x14ac:dyDescent="0.35">
      <c r="A32" t="s">
        <v>10</v>
      </c>
      <c r="B32"/>
      <c r="C32" s="54">
        <f>SUM(C31*'Avropsmall Bärbara'!$B$54*'Avropsmall Bärbara'!$C$54)</f>
        <v>0</v>
      </c>
      <c r="D32" s="54">
        <f>SUM(D31*'Avropsmall Bärbara'!$B$54*'Avropsmall Bärbara'!$C$54)</f>
        <v>0</v>
      </c>
      <c r="E32" s="54">
        <f>SUM(E31*'Avropsmall Bärbara'!$B$54*'Avropsmall Bärbara'!$C$54)</f>
        <v>0</v>
      </c>
      <c r="F32" s="54">
        <f>SUM(F31*'Avropsmall Bärbara'!$B$54*'Avropsmall Bärbara'!$C$54)</f>
        <v>0</v>
      </c>
      <c r="G32" s="54">
        <f>SUM(G31*'Avropsmall Bärbara'!$B$54*'Avropsmall Bärbara'!$C$54)</f>
        <v>0</v>
      </c>
      <c r="H32" s="54">
        <f>SUM(H31*'Avropsmall Bärbara'!$B$54*'Avropsmall Bärbara'!$C$54)</f>
        <v>0</v>
      </c>
    </row>
    <row r="33" spans="1:8" x14ac:dyDescent="0.35">
      <c r="A33"/>
      <c r="B33"/>
      <c r="C33" s="54"/>
      <c r="D33" s="54"/>
      <c r="E33" s="54"/>
      <c r="F33" s="54"/>
      <c r="G33" s="54"/>
      <c r="H33" s="14"/>
    </row>
    <row r="34" spans="1:8" x14ac:dyDescent="0.35">
      <c r="A34"/>
      <c r="B34"/>
      <c r="C34" s="54"/>
      <c r="D34" s="54"/>
      <c r="E34" s="54"/>
      <c r="F34" s="54"/>
      <c r="G34" s="54"/>
      <c r="H34" s="14"/>
    </row>
    <row r="35" spans="1:8" x14ac:dyDescent="0.35">
      <c r="A35"/>
      <c r="B35"/>
      <c r="C35" s="54"/>
      <c r="D35" s="54"/>
      <c r="E35" s="54"/>
      <c r="F35" s="54"/>
      <c r="G35" s="54"/>
      <c r="H35" s="14"/>
    </row>
    <row r="36" spans="1:8" x14ac:dyDescent="0.35">
      <c r="A36" t="str">
        <f>'Avropsmall Bärbara'!B56</f>
        <v>4.1.3.1 Skrotning och återvinning</v>
      </c>
      <c r="B36"/>
      <c r="C36" s="54"/>
      <c r="D36" s="54"/>
      <c r="E36" s="54"/>
      <c r="F36" s="54"/>
      <c r="G36" s="54"/>
      <c r="H36" s="14"/>
    </row>
    <row r="37" spans="1:8" x14ac:dyDescent="0.35">
      <c r="A37" t="s">
        <v>84</v>
      </c>
      <c r="B37"/>
      <c r="C37" s="54">
        <v>120.84</v>
      </c>
      <c r="D37" s="54">
        <v>1</v>
      </c>
      <c r="E37" s="54">
        <v>224</v>
      </c>
      <c r="F37" s="54">
        <v>13</v>
      </c>
      <c r="G37" s="54">
        <v>120</v>
      </c>
      <c r="H37" s="54">
        <v>0</v>
      </c>
    </row>
    <row r="38" spans="1:8" x14ac:dyDescent="0.35">
      <c r="A38" t="s">
        <v>10</v>
      </c>
      <c r="B38"/>
      <c r="C38" s="54">
        <f>SUM(C37*'Avropsmall Bärbara'!$B$58)</f>
        <v>0</v>
      </c>
      <c r="D38" s="54">
        <f>SUM(D37*'Avropsmall Bärbara'!$B$58)</f>
        <v>0</v>
      </c>
      <c r="E38" s="54">
        <f>SUM(E37*'Avropsmall Bärbara'!$B$58)</f>
        <v>0</v>
      </c>
      <c r="F38" s="54">
        <f>SUM(F37*'Avropsmall Bärbara'!$B$58)</f>
        <v>0</v>
      </c>
      <c r="G38" s="54">
        <f>SUM(G37*'Avropsmall Bärbara'!$B$58)</f>
        <v>0</v>
      </c>
      <c r="H38" s="54">
        <f>SUM(H37*'Avropsmall Bärbara'!$B$58)</f>
        <v>0</v>
      </c>
    </row>
    <row r="39" spans="1:8" x14ac:dyDescent="0.35">
      <c r="A39"/>
      <c r="B39"/>
      <c r="C39" s="54"/>
      <c r="D39" s="54"/>
      <c r="E39" s="54"/>
      <c r="F39" s="54"/>
      <c r="G39" s="54"/>
      <c r="H39" s="14"/>
    </row>
    <row r="40" spans="1:8" x14ac:dyDescent="0.35">
      <c r="A40" t="s">
        <v>85</v>
      </c>
      <c r="B40"/>
      <c r="C40" s="54">
        <v>20.14</v>
      </c>
      <c r="D40" s="54">
        <v>1</v>
      </c>
      <c r="E40" s="54">
        <v>15</v>
      </c>
      <c r="F40" s="54">
        <v>6</v>
      </c>
      <c r="G40" s="54">
        <v>50</v>
      </c>
      <c r="H40" s="54">
        <v>0</v>
      </c>
    </row>
    <row r="41" spans="1:8" x14ac:dyDescent="0.35">
      <c r="A41" t="s">
        <v>10</v>
      </c>
      <c r="B41"/>
      <c r="C41" s="54">
        <f>SUM(C40*'Avropsmall Bärbara'!$B$59)</f>
        <v>0</v>
      </c>
      <c r="D41" s="54">
        <f>SUM(D40*'Avropsmall Bärbara'!$B$59)</f>
        <v>0</v>
      </c>
      <c r="E41" s="54">
        <f>SUM(E40*'Avropsmall Bärbara'!$B$59)</f>
        <v>0</v>
      </c>
      <c r="F41" s="54">
        <f>SUM(F40*'Avropsmall Bärbara'!$B$59)</f>
        <v>0</v>
      </c>
      <c r="G41" s="54">
        <f>SUM(G40*'Avropsmall Bärbara'!$B$59)</f>
        <v>0</v>
      </c>
      <c r="H41" s="54">
        <f>SUM(H40*'Avropsmall Bärbara'!$B$59)</f>
        <v>0</v>
      </c>
    </row>
    <row r="42" spans="1:8" x14ac:dyDescent="0.35">
      <c r="A42"/>
      <c r="B42"/>
      <c r="C42" s="54"/>
      <c r="D42" s="54"/>
      <c r="E42" s="54"/>
      <c r="F42" s="54"/>
      <c r="G42" s="54"/>
      <c r="H42" s="14"/>
    </row>
    <row r="43" spans="1:8" x14ac:dyDescent="0.35">
      <c r="A43" t="s">
        <v>86</v>
      </c>
      <c r="B43"/>
      <c r="C43" s="54">
        <v>20.14</v>
      </c>
      <c r="D43" s="54">
        <v>1</v>
      </c>
      <c r="E43" s="54">
        <v>20</v>
      </c>
      <c r="F43" s="54">
        <v>6</v>
      </c>
      <c r="G43" s="54">
        <v>50</v>
      </c>
      <c r="H43" s="54">
        <v>0</v>
      </c>
    </row>
    <row r="44" spans="1:8" x14ac:dyDescent="0.35">
      <c r="A44" t="s">
        <v>10</v>
      </c>
      <c r="B44"/>
      <c r="C44" s="54">
        <f>SUM(C43*'Avropsmall Bärbara'!$B$60)</f>
        <v>0</v>
      </c>
      <c r="D44" s="54">
        <f>SUM(D43*'Avropsmall Bärbara'!$B$60)</f>
        <v>0</v>
      </c>
      <c r="E44" s="54">
        <f>SUM(E43*'Avropsmall Bärbara'!$B$60)</f>
        <v>0</v>
      </c>
      <c r="F44" s="54">
        <f>SUM(F43*'Avropsmall Bärbara'!$B$60)</f>
        <v>0</v>
      </c>
      <c r="G44" s="54">
        <f>SUM(G43*'Avropsmall Bärbara'!$B$60)</f>
        <v>0</v>
      </c>
      <c r="H44" s="54">
        <f>SUM(H43*'Avropsmall Bärbara'!$B$60)</f>
        <v>0</v>
      </c>
    </row>
    <row r="45" spans="1:8" x14ac:dyDescent="0.35">
      <c r="A45"/>
      <c r="B45"/>
      <c r="C45" s="54"/>
      <c r="D45" s="54"/>
      <c r="E45" s="54"/>
      <c r="F45" s="54"/>
      <c r="G45" s="54"/>
      <c r="H45" s="14"/>
    </row>
    <row r="46" spans="1:8" x14ac:dyDescent="0.35">
      <c r="A46" t="s">
        <v>87</v>
      </c>
      <c r="B46"/>
      <c r="C46" s="54">
        <v>20.14</v>
      </c>
      <c r="D46" s="54">
        <v>1</v>
      </c>
      <c r="E46" s="54">
        <v>20</v>
      </c>
      <c r="F46" s="54">
        <v>6</v>
      </c>
      <c r="G46" s="54">
        <v>50</v>
      </c>
      <c r="H46" s="54">
        <v>0</v>
      </c>
    </row>
    <row r="47" spans="1:8" x14ac:dyDescent="0.35">
      <c r="A47" t="s">
        <v>10</v>
      </c>
      <c r="B47"/>
      <c r="C47" s="54">
        <f>SUM(C46*'Avropsmall Bärbara'!$B$61)</f>
        <v>0</v>
      </c>
      <c r="D47" s="54">
        <f>SUM(D46*'Avropsmall Bärbara'!$B$61)</f>
        <v>0</v>
      </c>
      <c r="E47" s="54">
        <f>SUM(E46*'Avropsmall Bärbara'!$B$61)</f>
        <v>0</v>
      </c>
      <c r="F47" s="54">
        <f>SUM(F46*'Avropsmall Bärbara'!$B$61)</f>
        <v>0</v>
      </c>
      <c r="G47" s="54">
        <f>SUM(G46*'Avropsmall Bärbara'!$B$61)</f>
        <v>0</v>
      </c>
      <c r="H47" s="54">
        <f>SUM(H46*'Avropsmall Bärbara'!$B$61)</f>
        <v>0</v>
      </c>
    </row>
    <row r="48" spans="1:8" x14ac:dyDescent="0.35">
      <c r="A48"/>
      <c r="B48"/>
      <c r="C48" s="54"/>
      <c r="D48" s="54"/>
      <c r="E48" s="54"/>
      <c r="F48" s="54"/>
      <c r="G48" s="54"/>
      <c r="H48" s="14"/>
    </row>
    <row r="49" spans="1:8" x14ac:dyDescent="0.35">
      <c r="A49" t="s">
        <v>88</v>
      </c>
      <c r="B49"/>
      <c r="C49" s="54">
        <v>20.14</v>
      </c>
      <c r="D49" s="54">
        <v>1</v>
      </c>
      <c r="E49" s="54">
        <v>17</v>
      </c>
      <c r="F49" s="54">
        <v>6</v>
      </c>
      <c r="G49" s="54">
        <v>50</v>
      </c>
      <c r="H49" s="54">
        <v>0</v>
      </c>
    </row>
    <row r="50" spans="1:8" x14ac:dyDescent="0.35">
      <c r="A50" t="s">
        <v>10</v>
      </c>
      <c r="B50"/>
      <c r="C50" s="54">
        <f>SUM(C49*'Avropsmall Bärbara'!$B$62)</f>
        <v>0</v>
      </c>
      <c r="D50" s="54">
        <f>SUM(D49*'Avropsmall Bärbara'!$B$62)</f>
        <v>0</v>
      </c>
      <c r="E50" s="54">
        <f>SUM(E49*'Avropsmall Bärbara'!$B$62)</f>
        <v>0</v>
      </c>
      <c r="F50" s="54">
        <f>SUM(F49*'Avropsmall Bärbara'!$B$62)</f>
        <v>0</v>
      </c>
      <c r="G50" s="54">
        <f>SUM(G49*'Avropsmall Bärbara'!$B$62)</f>
        <v>0</v>
      </c>
      <c r="H50" s="54">
        <f>SUM(H49*'Avropsmall Bärbara'!$B$62)</f>
        <v>0</v>
      </c>
    </row>
    <row r="51" spans="1:8" x14ac:dyDescent="0.35">
      <c r="A51"/>
      <c r="B51"/>
      <c r="C51" s="54"/>
      <c r="D51" s="54"/>
      <c r="E51" s="54"/>
      <c r="F51" s="54"/>
      <c r="G51" s="54"/>
      <c r="H51" s="14"/>
    </row>
    <row r="52" spans="1:8" x14ac:dyDescent="0.35">
      <c r="A52" t="s">
        <v>89</v>
      </c>
      <c r="B52"/>
      <c r="C52" s="54">
        <v>20.14</v>
      </c>
      <c r="D52" s="54">
        <v>1</v>
      </c>
      <c r="E52" s="54">
        <v>17</v>
      </c>
      <c r="F52" s="54">
        <v>6</v>
      </c>
      <c r="G52" s="54">
        <v>50</v>
      </c>
      <c r="H52" s="54">
        <v>0</v>
      </c>
    </row>
    <row r="53" spans="1:8" x14ac:dyDescent="0.35">
      <c r="A53" t="s">
        <v>10</v>
      </c>
      <c r="B53"/>
      <c r="C53" s="54">
        <f>SUM(C52*'Avropsmall Bärbara'!$B$63)</f>
        <v>0</v>
      </c>
      <c r="D53" s="54">
        <f>SUM(D52*'Avropsmall Bärbara'!$B$63)</f>
        <v>0</v>
      </c>
      <c r="E53" s="54">
        <f>SUM(E52*'Avropsmall Bärbara'!$B$63)</f>
        <v>0</v>
      </c>
      <c r="F53" s="54">
        <f>SUM(F52*'Avropsmall Bärbara'!$B$63)</f>
        <v>0</v>
      </c>
      <c r="G53" s="54">
        <f>SUM(G52*'Avropsmall Bärbara'!$B$63)</f>
        <v>0</v>
      </c>
      <c r="H53" s="54">
        <f>SUM(H52*'Avropsmall Bärbara'!$B$63)</f>
        <v>0</v>
      </c>
    </row>
    <row r="54" spans="1:8" x14ac:dyDescent="0.35">
      <c r="A54"/>
      <c r="B54"/>
      <c r="C54" s="54"/>
      <c r="D54" s="54"/>
      <c r="E54" s="54"/>
      <c r="F54" s="54"/>
      <c r="G54" s="54"/>
      <c r="H54" s="14"/>
    </row>
    <row r="55" spans="1:8" x14ac:dyDescent="0.35">
      <c r="A55"/>
      <c r="B55"/>
      <c r="C55" s="54"/>
      <c r="D55" s="54"/>
      <c r="E55" s="54"/>
      <c r="F55" s="54"/>
      <c r="G55" s="54"/>
      <c r="H55" s="14"/>
    </row>
    <row r="56" spans="1:8" x14ac:dyDescent="0.35">
      <c r="A56" t="str">
        <f>'Avropsmall Bärbara'!B65</f>
        <v>4.1.3.2 Frakt för produkter som ska skrotas med återvinning</v>
      </c>
      <c r="B56"/>
      <c r="C56" s="54"/>
      <c r="D56" s="54"/>
      <c r="E56" s="54"/>
      <c r="F56" s="54"/>
      <c r="G56" s="54"/>
      <c r="H56" s="14"/>
    </row>
    <row r="57" spans="1:8" x14ac:dyDescent="0.35">
      <c r="A57" t="s">
        <v>92</v>
      </c>
      <c r="B57"/>
      <c r="C57" s="54">
        <v>443.08</v>
      </c>
      <c r="D57" s="54">
        <v>420</v>
      </c>
      <c r="E57" s="54">
        <v>1504</v>
      </c>
      <c r="F57" s="54">
        <v>300</v>
      </c>
      <c r="G57" s="54">
        <v>500</v>
      </c>
      <c r="H57" s="54">
        <v>155</v>
      </c>
    </row>
    <row r="58" spans="1:8" x14ac:dyDescent="0.35">
      <c r="A58" t="s">
        <v>10</v>
      </c>
      <c r="B58"/>
      <c r="C58" s="54">
        <f>SUM(C57*'Avropsmall Bärbara'!$B$67)</f>
        <v>0</v>
      </c>
      <c r="D58" s="54">
        <f>SUM(D57*'Avropsmall Bärbara'!$B$67)</f>
        <v>0</v>
      </c>
      <c r="E58" s="54">
        <f>SUM(E57*'Avropsmall Bärbara'!$B$67)</f>
        <v>0</v>
      </c>
      <c r="F58" s="54">
        <f>SUM(F57*'Avropsmall Bärbara'!$B$67)</f>
        <v>0</v>
      </c>
      <c r="G58" s="54">
        <f>SUM(G57*'Avropsmall Bärbara'!$B$67)</f>
        <v>0</v>
      </c>
      <c r="H58" s="54">
        <f>SUM(H57*'Avropsmall Bärbara'!$B$67)</f>
        <v>0</v>
      </c>
    </row>
    <row r="59" spans="1:8" x14ac:dyDescent="0.35">
      <c r="A59"/>
      <c r="B59"/>
      <c r="C59" s="54"/>
      <c r="D59" s="54"/>
      <c r="E59" s="54"/>
      <c r="F59" s="54"/>
      <c r="G59" s="54"/>
      <c r="H59" s="14"/>
    </row>
    <row r="60" spans="1:8" x14ac:dyDescent="0.35">
      <c r="A60" t="s">
        <v>90</v>
      </c>
      <c r="B60"/>
      <c r="C60" s="54">
        <v>2406.73</v>
      </c>
      <c r="D60" s="54">
        <v>840</v>
      </c>
      <c r="E60" s="54">
        <v>1971</v>
      </c>
      <c r="F60" s="54">
        <v>400</v>
      </c>
      <c r="G60" s="54">
        <v>500</v>
      </c>
      <c r="H60" s="54">
        <v>248</v>
      </c>
    </row>
    <row r="61" spans="1:8" x14ac:dyDescent="0.35">
      <c r="A61" t="s">
        <v>10</v>
      </c>
      <c r="B61"/>
      <c r="C61" s="54">
        <f>SUM(C60*'Avropsmall Bärbara'!$B$68)</f>
        <v>0</v>
      </c>
      <c r="D61" s="54">
        <f>SUM(D60*'Avropsmall Bärbara'!$B$68)</f>
        <v>0</v>
      </c>
      <c r="E61" s="54">
        <f>SUM(E60*'Avropsmall Bärbara'!$B$68)</f>
        <v>0</v>
      </c>
      <c r="F61" s="54">
        <f>SUM(F60*'Avropsmall Bärbara'!$B$68)</f>
        <v>0</v>
      </c>
      <c r="G61" s="54">
        <f>SUM(G60*'Avropsmall Bärbara'!$B$68)</f>
        <v>0</v>
      </c>
      <c r="H61" s="54">
        <f>SUM(H60*'Avropsmall Bärbara'!$B$68)</f>
        <v>0</v>
      </c>
    </row>
    <row r="62" spans="1:8" x14ac:dyDescent="0.35">
      <c r="A62"/>
      <c r="B62"/>
      <c r="C62" s="54"/>
      <c r="D62" s="54"/>
      <c r="E62" s="54"/>
      <c r="F62" s="54"/>
      <c r="G62" s="54"/>
    </row>
    <row r="63" spans="1:8" x14ac:dyDescent="0.35">
      <c r="A63"/>
      <c r="B63"/>
      <c r="C63" s="54"/>
      <c r="D63" s="54"/>
      <c r="E63" s="54"/>
      <c r="F63" s="54"/>
      <c r="G63" s="54"/>
    </row>
    <row r="64" spans="1:8" x14ac:dyDescent="0.35">
      <c r="A64"/>
      <c r="B64"/>
      <c r="C64" s="54"/>
      <c r="D64" s="54"/>
      <c r="E64" s="54"/>
      <c r="F64" s="54"/>
      <c r="G64" s="54"/>
    </row>
    <row r="65" spans="1:20" x14ac:dyDescent="0.35">
      <c r="A65" s="24" t="s">
        <v>82</v>
      </c>
      <c r="B65" s="24"/>
      <c r="C65" s="6">
        <f>SUM(C13,C17,C21,C25,C29,C38,C41,C44,C47,C50,C53,C58,C61,C32)</f>
        <v>0</v>
      </c>
      <c r="D65" s="6">
        <f t="shared" ref="D65:E65" si="0">SUM(D13,D17,D21,D25,D29,D38,D41,D44,D47,D50,D53,D58,D61,D32)</f>
        <v>0</v>
      </c>
      <c r="E65" s="6">
        <f t="shared" si="0"/>
        <v>0</v>
      </c>
      <c r="F65" s="6">
        <f>SUM(F13,F17,F21,F25,F29,F38,F41,F44,F47,F50,F53,F58,F61,F32)</f>
        <v>0</v>
      </c>
      <c r="G65" s="6">
        <f>SUM(G13,G17,G21,G25,G29,G38,G41,G44,G47,G50,G53,G58,G61,G32)</f>
        <v>0</v>
      </c>
      <c r="H65" s="6">
        <f>SUM(H13,H17,H21,H25,H29,H38,H41,H44,H47,H50,H53,H58,H61,H32)</f>
        <v>0</v>
      </c>
      <c r="O65" s="41" t="e">
        <f>SUM(#REF!)</f>
        <v>#REF!</v>
      </c>
      <c r="P65" s="41" t="e">
        <f>SUM(#REF!)</f>
        <v>#REF!</v>
      </c>
      <c r="Q65" s="41" t="e">
        <f>SUM(#REF!)</f>
        <v>#REF!</v>
      </c>
      <c r="R65" s="41" t="e">
        <f>SUM(#REF!)</f>
        <v>#REF!</v>
      </c>
      <c r="S65" s="41" t="e">
        <f>SUM(#REF!)</f>
        <v>#REF!</v>
      </c>
      <c r="T65" s="41" t="e">
        <f>SUM(#REF!)</f>
        <v>#REF!</v>
      </c>
    </row>
    <row r="66" spans="1:20" x14ac:dyDescent="0.35">
      <c r="A66" s="8"/>
      <c r="B66" s="8"/>
      <c r="C66" s="9"/>
      <c r="D66" s="9"/>
      <c r="E66" s="9"/>
      <c r="F66" s="9"/>
      <c r="G66" s="2"/>
      <c r="O66" s="9"/>
      <c r="P66" s="9"/>
      <c r="Q66" s="9"/>
      <c r="R66" s="9"/>
      <c r="S66" s="9"/>
      <c r="T66" s="9"/>
    </row>
    <row r="67" spans="1:20" x14ac:dyDescent="0.35">
      <c r="A67" s="8"/>
      <c r="B67" s="8"/>
      <c r="C67" s="9"/>
      <c r="D67" s="9"/>
      <c r="E67" s="9"/>
      <c r="F67" s="9"/>
      <c r="G67" s="2"/>
    </row>
    <row r="68" spans="1:20" x14ac:dyDescent="0.35">
      <c r="A68" s="8"/>
      <c r="B68" s="8"/>
      <c r="C68" s="9"/>
      <c r="D68" s="9"/>
      <c r="E68" s="9"/>
      <c r="F68" s="9"/>
      <c r="G68" s="2"/>
    </row>
    <row r="69" spans="1:20" x14ac:dyDescent="0.35">
      <c r="A69" s="8"/>
      <c r="B69" s="8"/>
      <c r="C69" s="9"/>
      <c r="D69" s="9"/>
      <c r="E69" s="9"/>
      <c r="F69" s="9"/>
      <c r="G69" s="2"/>
    </row>
    <row r="70" spans="1:20" x14ac:dyDescent="0.35">
      <c r="A70" s="8"/>
      <c r="B70" s="8"/>
      <c r="C70" s="9">
        <f>SUM(C65)</f>
        <v>0</v>
      </c>
      <c r="D70" s="9">
        <f t="shared" ref="D70:E70" si="1">SUM(D65)</f>
        <v>0</v>
      </c>
      <c r="E70" s="9">
        <f t="shared" si="1"/>
        <v>0</v>
      </c>
      <c r="F70" s="9">
        <f>SUM(F65)</f>
        <v>0</v>
      </c>
      <c r="G70" s="9">
        <f>SUM(G65)</f>
        <v>0</v>
      </c>
      <c r="H70" s="9">
        <f>SUM(H65)</f>
        <v>0</v>
      </c>
    </row>
    <row r="71" spans="1:20" x14ac:dyDescent="0.35">
      <c r="A71" s="8"/>
      <c r="B71" s="8"/>
      <c r="C71" s="9"/>
      <c r="D71" s="9"/>
      <c r="E71" s="9"/>
      <c r="F71" s="9"/>
      <c r="G71" s="2"/>
    </row>
    <row r="72" spans="1:20" x14ac:dyDescent="0.35">
      <c r="A72" s="8"/>
      <c r="B72" s="8"/>
      <c r="C72" s="9"/>
      <c r="D72" s="9"/>
      <c r="E72" s="9"/>
      <c r="F72" s="9"/>
      <c r="G72" s="2"/>
    </row>
    <row r="73" spans="1:20" x14ac:dyDescent="0.35">
      <c r="A73" s="8" t="s">
        <v>0</v>
      </c>
      <c r="B73" s="8"/>
      <c r="C73" s="2">
        <f>_xlfn.RANK.EQ(C70,$C$70:$H$70,2)</f>
        <v>1</v>
      </c>
      <c r="D73" s="2">
        <f>_xlfn.RANK.EQ(D70,$C$70:$H$70,2)</f>
        <v>1</v>
      </c>
      <c r="E73" s="2">
        <f t="shared" ref="E73" si="2">_xlfn.RANK.EQ(E70,$C$70:$H$70,2)</f>
        <v>1</v>
      </c>
      <c r="F73" s="2">
        <f>_xlfn.RANK.EQ(F70,$C$70:$H$70,2)</f>
        <v>1</v>
      </c>
      <c r="G73" s="2">
        <f>_xlfn.RANK.EQ(G70,$C$70:$H$70,2)</f>
        <v>1</v>
      </c>
      <c r="H73" s="2">
        <f>_xlfn.RANK.EQ(H70,$C$70:$H$70,2)</f>
        <v>1</v>
      </c>
    </row>
    <row r="74" spans="1:20" x14ac:dyDescent="0.35">
      <c r="A74" s="8"/>
      <c r="B74" s="8"/>
      <c r="C74" s="2">
        <f>SUM(C73+0.001)</f>
        <v>1.0009999999999999</v>
      </c>
      <c r="D74" s="2">
        <f>SUM(D73+0.002)</f>
        <v>1.002</v>
      </c>
      <c r="E74" s="2">
        <f>SUM(E73+0.003)</f>
        <v>1.0029999999999999</v>
      </c>
      <c r="F74" s="2">
        <f t="shared" ref="F74" si="3">SUM(F73+0.004)</f>
        <v>1.004</v>
      </c>
      <c r="G74" s="2">
        <f>SUM(G73+0.005)</f>
        <v>1.0049999999999999</v>
      </c>
      <c r="H74" s="2">
        <f>SUM(H73+0.006)</f>
        <v>1.006</v>
      </c>
    </row>
    <row r="75" spans="1:20" x14ac:dyDescent="0.35">
      <c r="A75" s="8"/>
      <c r="B75" s="8"/>
      <c r="C75" s="9"/>
      <c r="D75" s="9"/>
      <c r="E75" s="9"/>
      <c r="F75" s="9"/>
      <c r="G75" s="2"/>
    </row>
    <row r="76" spans="1:20" x14ac:dyDescent="0.35">
      <c r="A76" s="8"/>
      <c r="B76" s="8"/>
      <c r="C76" s="9"/>
      <c r="D76" s="9"/>
      <c r="E76" s="9"/>
      <c r="F76" s="9"/>
      <c r="G76" s="2"/>
    </row>
    <row r="77" spans="1:20" x14ac:dyDescent="0.35">
      <c r="A77" s="8"/>
      <c r="B77" s="8"/>
      <c r="C77" s="9"/>
      <c r="D77" s="9"/>
      <c r="E77" s="9"/>
      <c r="F77" s="9"/>
      <c r="G77" s="2"/>
    </row>
    <row r="78" spans="1:20" x14ac:dyDescent="0.35">
      <c r="A78" s="4" t="s">
        <v>0</v>
      </c>
      <c r="B78" s="4"/>
      <c r="C78" s="25">
        <f>_xlfn.RANK.EQ(C74,$C$74:$H$74,2)</f>
        <v>1</v>
      </c>
      <c r="D78" s="25">
        <f>_xlfn.RANK.EQ(D74,$C$74:$H$74,2)</f>
        <v>2</v>
      </c>
      <c r="E78" s="25">
        <f t="shared" ref="E78" si="4">_xlfn.RANK.EQ(E74,$C$74:$H$74,2)</f>
        <v>3</v>
      </c>
      <c r="F78" s="25">
        <f>_xlfn.RANK.EQ(F74,$C$74:$H$74,2)</f>
        <v>4</v>
      </c>
      <c r="G78" s="25">
        <f>_xlfn.RANK.EQ(G74,$C$74:$H$74,2)</f>
        <v>5</v>
      </c>
      <c r="H78" s="25">
        <f>_xlfn.RANK.EQ(H74,$C$74:$H$74,2)</f>
        <v>6</v>
      </c>
      <c r="I78" s="14">
        <f>SUM(C70:G70)</f>
        <v>0</v>
      </c>
    </row>
    <row r="79" spans="1:20" ht="14" thickBot="1" x14ac:dyDescent="0.4">
      <c r="A79" s="5"/>
      <c r="B79" s="80"/>
      <c r="G79" s="2"/>
    </row>
    <row r="80" spans="1:20" ht="24.65" customHeight="1" x14ac:dyDescent="0.35">
      <c r="A80" s="21" t="s">
        <v>1</v>
      </c>
      <c r="B80" s="21"/>
      <c r="C80" s="148" t="str">
        <f>IF('Avropsmall Bärbara'!B45&gt;200,"Avropet överstiger 200 enheter, använd förnyad konkurensutsättning för avrop",IF(I78=0,"Vinnande anbud",IF(E96=1,C88,IF(E96=2,C89,IF(E96=3,C90,IF(E96=4,C91,IF(E96=5,C92,IF(E96=6,C93,""))))))))</f>
        <v>Vinnande anbud</v>
      </c>
      <c r="D80" s="149"/>
      <c r="E80" s="150"/>
      <c r="F80" s="71"/>
      <c r="G80" s="2"/>
    </row>
    <row r="81" spans="1:7" ht="24.65" customHeight="1" x14ac:dyDescent="0.35">
      <c r="A81" s="21" t="s">
        <v>25</v>
      </c>
      <c r="B81" s="21"/>
      <c r="C81" s="151" t="str">
        <f>IF(C80=C1,C2,IF(C80=D1,D2,IF(C80=E1,E2,IF(C80=F1,F2,IF(C80=G1,G2,IF(C80=H1,H2,""))))))</f>
        <v/>
      </c>
      <c r="D81" s="140"/>
      <c r="E81" s="152"/>
      <c r="F81" s="71"/>
      <c r="G81" s="2"/>
    </row>
    <row r="82" spans="1:7" ht="24.65" customHeight="1" x14ac:dyDescent="0.35">
      <c r="A82" s="21" t="s">
        <v>18</v>
      </c>
      <c r="B82" s="21"/>
      <c r="C82" s="151" t="str">
        <f>IF(C80=C1,C3,IF(C80=D1,D3,IF(C80=E1,E3,IF(C80=F1,F3,IF(C80=G1,G3,IF(C80=H1,H3,""))))))</f>
        <v/>
      </c>
      <c r="D82" s="140"/>
      <c r="E82" s="152"/>
      <c r="F82" s="71"/>
      <c r="G82" s="2"/>
    </row>
    <row r="83" spans="1:7" ht="24.65" customHeight="1" x14ac:dyDescent="0.35">
      <c r="A83" s="21" t="s">
        <v>19</v>
      </c>
      <c r="B83" s="21"/>
      <c r="C83" s="151" t="str">
        <f>IF(C80=C1,C4,IF(C80=D1,D4,IF(C80=E1,E4,IF(C80=F1,F4,IF(C80=G1,G4,IF(C80=H1,H4,""))))))</f>
        <v/>
      </c>
      <c r="D83" s="140"/>
      <c r="E83" s="152"/>
      <c r="F83" s="71"/>
      <c r="G83" s="2"/>
    </row>
    <row r="84" spans="1:7" ht="24.65" customHeight="1" thickBot="1" x14ac:dyDescent="0.4">
      <c r="A84" s="21" t="s">
        <v>20</v>
      </c>
      <c r="B84" s="21"/>
      <c r="C84" s="153" t="str">
        <f>IF(C80=C1,C5,IF(C80=D1,D5,IF(C80=E1,E5,IF(C80=F1,F5,IF(C80=G1,G5,IF(C80=H1,H5,""))))))</f>
        <v/>
      </c>
      <c r="D84" s="154"/>
      <c r="E84" s="155"/>
      <c r="F84" s="71"/>
      <c r="G84" s="2"/>
    </row>
    <row r="85" spans="1:7" x14ac:dyDescent="0.35">
      <c r="G85" s="2"/>
    </row>
    <row r="86" spans="1:7" ht="20" x14ac:dyDescent="0.4">
      <c r="A86" s="26" t="s">
        <v>36</v>
      </c>
      <c r="B86" s="26"/>
      <c r="C86" s="1"/>
      <c r="D86" s="1"/>
      <c r="E86" s="1"/>
      <c r="F86" s="47"/>
      <c r="G86" s="2"/>
    </row>
    <row r="87" spans="1:7" x14ac:dyDescent="0.35">
      <c r="A87" s="1"/>
      <c r="B87" s="1"/>
      <c r="C87" s="1" t="s">
        <v>11</v>
      </c>
      <c r="D87" s="1"/>
      <c r="E87" s="1" t="s">
        <v>10</v>
      </c>
      <c r="F87" s="47"/>
      <c r="G87" s="2">
        <f>IF(E96=C78,C70,IF(E96=D78,D70,IF(E96=E78,E70,IF(E96=G78,G70,""))))</f>
        <v>0</v>
      </c>
    </row>
    <row r="88" spans="1:7" x14ac:dyDescent="0.35">
      <c r="A88" s="1" t="s">
        <v>4</v>
      </c>
      <c r="B88" s="1"/>
      <c r="C88" s="1" t="str">
        <f>IF(I78=0,"",IF(C78=1,C1,IF(D78=1,D1,IF(E78=1,E1,IF(F78=1,F1,IF(G78=1,G1,IF(H78=1,H1,"")))))))</f>
        <v/>
      </c>
      <c r="D88" s="1"/>
      <c r="E88" s="7">
        <f>IF(C78=1,C70,IF(D78=1,D70,IF(E78=1,E70,IF(F78=1,F70,IF(G78=1,G70,IF(H78=1,H70,""))))))</f>
        <v>0</v>
      </c>
      <c r="F88" s="47"/>
      <c r="G88" s="2"/>
    </row>
    <row r="89" spans="1:7" x14ac:dyDescent="0.35">
      <c r="A89" s="1" t="s">
        <v>5</v>
      </c>
      <c r="B89" s="1"/>
      <c r="C89" s="55" t="str">
        <f>IF(I78=0,"",IF(C78=2,C1,IF(D78=2,D1,IF(E78=2,E1,IF(F78=2,F1,IF(G78=2,G1,IF(H78=2,H1,"")))))))</f>
        <v/>
      </c>
      <c r="D89" s="28"/>
      <c r="E89" s="7">
        <f>IF(C78=2,C70,IF(D78=2,D70,IF(E78=2,E70,IF(F78=2,F70,IF(G78=2,G70,IF(H78=2,H70,""))))))</f>
        <v>0</v>
      </c>
      <c r="F89" s="72"/>
      <c r="G89" s="2"/>
    </row>
    <row r="90" spans="1:7" x14ac:dyDescent="0.35">
      <c r="A90" s="1" t="s">
        <v>6</v>
      </c>
      <c r="B90" s="1"/>
      <c r="C90" s="55" t="str">
        <f>IF(I78=0,"",IF(C78=3,C1,IF(D78=3,D1,IF(E78=3,E1,IF(F78=3,F1,IF(G78=3,G1,IF(H78=3,H1,"")))))))</f>
        <v/>
      </c>
      <c r="D90" s="28"/>
      <c r="E90" s="7">
        <f>IF(C78=3,C70,IF(D78=3,D70,IF(E78=3,E70,IF(F78=3,F70,IF(G78=3,G70,IF(H78=3,H70,""))))))</f>
        <v>0</v>
      </c>
      <c r="F90" s="72"/>
      <c r="G90" s="2"/>
    </row>
    <row r="91" spans="1:7" x14ac:dyDescent="0.35">
      <c r="A91" s="1" t="s">
        <v>39</v>
      </c>
      <c r="B91" s="1"/>
      <c r="C91" s="55" t="str">
        <f>IF(I78=0,"",IF(C78=4,C1,IF(D78=4,D1,IF(E78=4,E1,IF(F78=4,F1,IF(G78=4,G1,IF(H78=4,H1,"")))))))</f>
        <v/>
      </c>
      <c r="D91" s="28"/>
      <c r="E91" s="7">
        <f>IF(C78=4,C70,IF(D78=4,D70,IF(E78=4,E70,IF(F78=4,F70,IF(G78=4,G70,IF(H78=4,H70,""))))))</f>
        <v>0</v>
      </c>
      <c r="F91" s="72"/>
      <c r="G91" s="2"/>
    </row>
    <row r="92" spans="1:7" x14ac:dyDescent="0.35">
      <c r="A92" s="1" t="s">
        <v>116</v>
      </c>
      <c r="B92" s="1"/>
      <c r="C92" s="55" t="str">
        <f>IF(I78=0,"",IF(C78=5,C1,IF(D78=5,D1,IF(E78=5,E1,IF(F78=5,F1,IF(G78=5,G1,IF(H78=5,H1,"")))))))</f>
        <v/>
      </c>
      <c r="D92" s="28"/>
      <c r="E92" s="7">
        <f>IF(C78=5,C70,IF(D78=5,D70,IF(E78=5,E70,IF(F78=5,F70,IF(G78=5,G70,IF(H78=5,H70,""))))))</f>
        <v>0</v>
      </c>
      <c r="F92" s="72"/>
      <c r="G92" s="2"/>
    </row>
    <row r="93" spans="1:7" x14ac:dyDescent="0.35">
      <c r="A93" s="1" t="s">
        <v>117</v>
      </c>
      <c r="B93" s="1"/>
      <c r="C93" s="55" t="str">
        <f>IF(I78=0,"",IF(C78=6,C1,IF(D78=6,D1,IF(E78=6,E1,IF(F78=6,F1,IF(G78=6,G1,IF(H78=6,H1,"")))))))</f>
        <v/>
      </c>
      <c r="D93" s="28"/>
      <c r="E93" s="7">
        <f>IF(C78=6,C70,IF(D78=6,D70,IF(E78=6,E70,IF(F78=6,F70,IF(G78=6,G70,IF(H78=6,H70,""))))))</f>
        <v>0</v>
      </c>
      <c r="F93" s="72"/>
      <c r="G93" s="2"/>
    </row>
    <row r="94" spans="1:7" x14ac:dyDescent="0.35">
      <c r="A94" s="47"/>
      <c r="B94" s="47"/>
      <c r="C94" s="77"/>
      <c r="D94" s="78"/>
      <c r="E94" s="72"/>
      <c r="F94" s="72"/>
      <c r="G94" s="2"/>
    </row>
    <row r="95" spans="1:7" x14ac:dyDescent="0.35">
      <c r="G95" s="2"/>
    </row>
    <row r="96" spans="1:7" x14ac:dyDescent="0.35">
      <c r="A96" s="113"/>
      <c r="B96" s="113"/>
      <c r="C96" s="114"/>
      <c r="D96" s="114"/>
      <c r="E96" s="1">
        <f>'Avropsmall Bärbara'!J82</f>
        <v>1</v>
      </c>
      <c r="F96" s="47"/>
      <c r="G96" s="2"/>
    </row>
    <row r="97" spans="1:6" x14ac:dyDescent="0.35">
      <c r="A97" s="5"/>
      <c r="B97" s="80"/>
      <c r="C97" s="5"/>
      <c r="D97" s="5"/>
      <c r="E97" s="5"/>
      <c r="F97" s="61"/>
    </row>
  </sheetData>
  <sheetProtection algorithmName="SHA-512" hashValue="WdTzxqegINztrNi6sxLNlBM19pjb3DBICffhqHwZ73CYf6HjscZfB1EsKgJy/DbLPHT0trFd6YNKVwbEQe2vbQ==" saltValue="RVwKTEALasE662BRghqbwg==" spinCount="100000" sheet="1" objects="1" scenarios="1"/>
  <mergeCells count="6">
    <mergeCell ref="C80:E80"/>
    <mergeCell ref="C81:E81"/>
    <mergeCell ref="C82:E82"/>
    <mergeCell ref="C84:E84"/>
    <mergeCell ref="A96:D96"/>
    <mergeCell ref="C83:E83"/>
  </mergeCells>
  <phoneticPr fontId="22" type="noConversion"/>
  <dataValidations count="1">
    <dataValidation errorStyle="warning" allowBlank="1" showInputMessage="1" showErrorMessage="1" sqref="C80:C84" xr:uid="{324AA489-2B8A-4983-89A0-83913C06D623}"/>
  </dataValidations>
  <hyperlinks>
    <hyperlink ref="D5" r:id="rId1" xr:uid="{DFF5DF09-F171-49BF-B00E-37DBD9492E04}"/>
    <hyperlink ref="C5" r:id="rId2" xr:uid="{52E791EE-3517-4B77-9AAF-6CFFBBF3A396}"/>
    <hyperlink ref="G5" r:id="rId3" xr:uid="{FCF67886-6ECD-4B92-96BE-7909F3CB8B4E}"/>
    <hyperlink ref="E5" r:id="rId4" xr:uid="{FF894AB4-1DDF-466C-99C6-0D6BB2DD6792}"/>
    <hyperlink ref="F5" r:id="rId5" xr:uid="{167D579C-DC5F-4890-AB91-5605A5115B77}"/>
    <hyperlink ref="H5" r:id="rId6" xr:uid="{C07780AE-81A7-40A6-90B7-8D67A44020E2}"/>
  </hyperlinks>
  <pageMargins left="0.62992125984251968" right="0.62992125984251968" top="0.74803149606299213" bottom="0.74803149606299213" header="0.31496062992125984" footer="0.31496062992125984"/>
  <pageSetup paperSize="9" scale="47" fitToHeight="0"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N15"/>
  <sheetViews>
    <sheetView workbookViewId="0">
      <selection activeCell="A4" sqref="A4:XFD4"/>
    </sheetView>
  </sheetViews>
  <sheetFormatPr defaultRowHeight="13.5" x14ac:dyDescent="0.35"/>
  <sheetData>
    <row r="1" spans="1:14" ht="15" x14ac:dyDescent="0.35">
      <c r="A1" s="42" t="s">
        <v>45</v>
      </c>
    </row>
    <row r="2" spans="1:14" ht="29.5" customHeight="1" x14ac:dyDescent="0.35">
      <c r="A2" s="156" t="s">
        <v>121</v>
      </c>
      <c r="B2" s="157"/>
      <c r="C2" s="157"/>
      <c r="D2" s="157"/>
      <c r="E2" s="157"/>
      <c r="F2" s="157"/>
      <c r="G2" s="157"/>
      <c r="H2" s="157"/>
      <c r="I2" s="157"/>
      <c r="J2" s="157"/>
      <c r="K2" s="157"/>
      <c r="L2" s="157"/>
      <c r="M2" s="157"/>
      <c r="N2" s="157"/>
    </row>
    <row r="3" spans="1:14" ht="15" x14ac:dyDescent="0.35">
      <c r="A3" s="42" t="s">
        <v>46</v>
      </c>
    </row>
    <row r="4" spans="1:14" ht="15" x14ac:dyDescent="0.35">
      <c r="A4" s="42" t="s">
        <v>47</v>
      </c>
    </row>
    <row r="5" spans="1:14" ht="15" x14ac:dyDescent="0.35">
      <c r="A5" s="42" t="s">
        <v>48</v>
      </c>
    </row>
    <row r="6" spans="1:14" ht="15" x14ac:dyDescent="0.35">
      <c r="A6" s="42" t="s">
        <v>49</v>
      </c>
    </row>
    <row r="7" spans="1:14" ht="15" x14ac:dyDescent="0.35">
      <c r="A7" s="42" t="s">
        <v>50</v>
      </c>
    </row>
    <row r="8" spans="1:14" ht="15" x14ac:dyDescent="0.35">
      <c r="A8" s="42" t="s">
        <v>51</v>
      </c>
    </row>
    <row r="9" spans="1:14" ht="15" x14ac:dyDescent="0.4">
      <c r="A9" s="43"/>
    </row>
    <row r="10" spans="1:14" ht="15" x14ac:dyDescent="0.35">
      <c r="A10" s="42" t="s">
        <v>52</v>
      </c>
    </row>
    <row r="11" spans="1:14" ht="15" x14ac:dyDescent="0.35">
      <c r="A11" s="42" t="s">
        <v>53</v>
      </c>
    </row>
    <row r="12" spans="1:14" ht="15" x14ac:dyDescent="0.35">
      <c r="A12" s="42" t="s">
        <v>54</v>
      </c>
    </row>
    <row r="13" spans="1:14" ht="15" x14ac:dyDescent="0.35">
      <c r="A13" s="44" t="s">
        <v>55</v>
      </c>
    </row>
    <row r="14" spans="1:14" ht="15" x14ac:dyDescent="0.35">
      <c r="A14" s="44" t="s">
        <v>57</v>
      </c>
    </row>
    <row r="15" spans="1:14" ht="15" x14ac:dyDescent="0.35">
      <c r="A15" s="44" t="s">
        <v>56</v>
      </c>
    </row>
  </sheetData>
  <sheetProtection algorithmName="SHA-512" hashValue="qkoCV2CZMCFEM6WvBoPZeS816533+a5X175GKHwTxKqjbb5ZcTjYFbJWJpF2cEgsN+uTdfxxHmfGl8M80dfcMw==" saltValue="pPTUh64MCeHYwQvIL23/DA==" spinCount="100000" sheet="1" objects="1" scenarios="1"/>
  <mergeCells count="1">
    <mergeCell ref="A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Avropsmall Bärbara</vt:lpstr>
      <vt:lpstr>Prismatris</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2025-09-26T10:57:41Z</dcterms:modified>
</cp:coreProperties>
</file>